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V\2022\ÖPolSV\"/>
    </mc:Choice>
  </mc:AlternateContent>
  <xr:revisionPtr revIDLastSave="0" documentId="8_{CD472F13-6CFB-4848-8766-2CCD760DE4DD}" xr6:coauthVersionLast="47" xr6:coauthVersionMax="47" xr10:uidLastSave="{00000000-0000-0000-0000-000000000000}"/>
  <bookViews>
    <workbookView xWindow="-120" yWindow="-120" windowWidth="38640" windowHeight="21120" xr2:uid="{81A5CEAF-0B56-43A8-BF21-FD7CC5D5041C}"/>
  </bookViews>
  <sheets>
    <sheet name="Luftpistole" sheetId="1" r:id="rId1"/>
  </sheets>
  <definedNames>
    <definedName name="_xlnm._FilterDatabase" localSheetId="0" hidden="1">Luftpistole!$A$57:$K$57</definedName>
    <definedName name="_xlnm.Print_Area" localSheetId="0">Luftpistole!$A$1:$K$333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1" l="1"/>
  <c r="K31" i="1"/>
  <c r="K32" i="1"/>
  <c r="K38" i="1"/>
  <c r="K39" i="1"/>
  <c r="K40" i="1"/>
  <c r="K41" i="1"/>
  <c r="K42" i="1"/>
  <c r="K43" i="1"/>
  <c r="K44" i="1"/>
  <c r="K45" i="1"/>
  <c r="K46" i="1"/>
  <c r="K47" i="1"/>
  <c r="K51" i="1"/>
  <c r="K52" i="1"/>
  <c r="K53" i="1"/>
  <c r="K54" i="1"/>
  <c r="K55" i="1"/>
  <c r="K58" i="1"/>
  <c r="E59" i="1"/>
  <c r="K59" i="1" s="1"/>
  <c r="K60" i="1"/>
  <c r="K326" i="1"/>
  <c r="J326" i="1"/>
  <c r="I326" i="1"/>
  <c r="H326" i="1"/>
  <c r="G326" i="1"/>
  <c r="F326" i="1"/>
  <c r="E326" i="1"/>
  <c r="D326" i="1"/>
  <c r="K308" i="1"/>
  <c r="K307" i="1"/>
  <c r="K305" i="1"/>
  <c r="K304" i="1"/>
  <c r="K303" i="1"/>
  <c r="K297" i="1"/>
  <c r="K296" i="1"/>
  <c r="K294" i="1"/>
  <c r="K293" i="1"/>
  <c r="K292" i="1"/>
  <c r="K290" i="1"/>
  <c r="K289" i="1"/>
  <c r="K288" i="1"/>
  <c r="K286" i="1"/>
  <c r="K285" i="1"/>
  <c r="K284" i="1"/>
  <c r="K299" i="1" l="1"/>
  <c r="K287" i="1"/>
  <c r="K310" i="1"/>
  <c r="K306" i="1"/>
  <c r="K295" i="1"/>
  <c r="K291" i="1"/>
  <c r="K281" i="1"/>
  <c r="K280" i="1"/>
  <c r="K279" i="1"/>
  <c r="K277" i="1"/>
  <c r="K276" i="1"/>
  <c r="K275" i="1"/>
  <c r="K273" i="1"/>
  <c r="K272" i="1"/>
  <c r="K268" i="1"/>
  <c r="K267" i="1"/>
  <c r="K266" i="1"/>
  <c r="K264" i="1"/>
  <c r="K263" i="1"/>
  <c r="K262" i="1"/>
  <c r="K260" i="1"/>
  <c r="K259" i="1"/>
  <c r="K258" i="1"/>
  <c r="K233" i="1"/>
  <c r="K232" i="1"/>
  <c r="K231" i="1"/>
  <c r="K252" i="1"/>
  <c r="K251" i="1"/>
  <c r="K249" i="1"/>
  <c r="K248" i="1"/>
  <c r="K247" i="1"/>
  <c r="K245" i="1"/>
  <c r="K244" i="1"/>
  <c r="K243" i="1"/>
  <c r="K241" i="1"/>
  <c r="K240" i="1"/>
  <c r="K239" i="1"/>
  <c r="K237" i="1"/>
  <c r="K236" i="1"/>
  <c r="K235" i="1"/>
  <c r="K282" i="1" l="1"/>
  <c r="K278" i="1"/>
  <c r="K274" i="1"/>
  <c r="K269" i="1"/>
  <c r="K265" i="1"/>
  <c r="K261" i="1"/>
  <c r="K238" i="1"/>
  <c r="K234" i="1"/>
  <c r="K242" i="1"/>
  <c r="K246" i="1"/>
  <c r="K250" i="1"/>
  <c r="K254" i="1"/>
  <c r="J224" i="1" l="1"/>
  <c r="I224" i="1"/>
  <c r="H224" i="1"/>
  <c r="G224" i="1"/>
  <c r="F224" i="1"/>
  <c r="E224" i="1"/>
  <c r="J223" i="1"/>
  <c r="I223" i="1"/>
  <c r="H223" i="1"/>
  <c r="G223" i="1"/>
  <c r="F223" i="1"/>
  <c r="E223" i="1"/>
  <c r="J222" i="1"/>
  <c r="I222" i="1"/>
  <c r="H222" i="1"/>
  <c r="G222" i="1"/>
  <c r="F222" i="1"/>
  <c r="E222" i="1"/>
  <c r="J221" i="1"/>
  <c r="I221" i="1"/>
  <c r="H221" i="1"/>
  <c r="G221" i="1"/>
  <c r="F221" i="1"/>
  <c r="E221" i="1"/>
  <c r="J220" i="1"/>
  <c r="I220" i="1"/>
  <c r="H220" i="1"/>
  <c r="G220" i="1"/>
  <c r="F220" i="1"/>
  <c r="E220" i="1"/>
  <c r="J219" i="1"/>
  <c r="I219" i="1"/>
  <c r="H219" i="1"/>
  <c r="G219" i="1"/>
  <c r="F219" i="1"/>
  <c r="E219" i="1"/>
  <c r="J218" i="1"/>
  <c r="I218" i="1"/>
  <c r="H218" i="1"/>
  <c r="G218" i="1"/>
  <c r="F218" i="1"/>
  <c r="E218" i="1"/>
  <c r="J217" i="1"/>
  <c r="I217" i="1"/>
  <c r="H217" i="1"/>
  <c r="G217" i="1"/>
  <c r="F217" i="1"/>
  <c r="E217" i="1"/>
  <c r="K219" i="1" l="1"/>
  <c r="K223" i="1"/>
  <c r="K220" i="1"/>
  <c r="K224" i="1"/>
  <c r="K222" i="1"/>
  <c r="K217" i="1"/>
  <c r="K221" i="1"/>
  <c r="K218" i="1"/>
  <c r="J213" i="1"/>
  <c r="I213" i="1"/>
  <c r="H213" i="1"/>
  <c r="G213" i="1"/>
  <c r="F213" i="1"/>
  <c r="E213" i="1"/>
  <c r="J212" i="1"/>
  <c r="I212" i="1"/>
  <c r="H212" i="1"/>
  <c r="G212" i="1"/>
  <c r="F212" i="1"/>
  <c r="E212" i="1"/>
  <c r="J207" i="1"/>
  <c r="I207" i="1"/>
  <c r="H207" i="1"/>
  <c r="G207" i="1"/>
  <c r="F207" i="1"/>
  <c r="E207" i="1"/>
  <c r="J206" i="1"/>
  <c r="I206" i="1"/>
  <c r="H206" i="1"/>
  <c r="G206" i="1"/>
  <c r="F206" i="1"/>
  <c r="E206" i="1"/>
  <c r="J205" i="1"/>
  <c r="I205" i="1"/>
  <c r="H205" i="1"/>
  <c r="G205" i="1"/>
  <c r="F205" i="1"/>
  <c r="E205" i="1"/>
  <c r="J198" i="1"/>
  <c r="I198" i="1"/>
  <c r="H198" i="1"/>
  <c r="G198" i="1"/>
  <c r="F198" i="1"/>
  <c r="E198" i="1"/>
  <c r="J197" i="1"/>
  <c r="I197" i="1"/>
  <c r="H197" i="1"/>
  <c r="G197" i="1"/>
  <c r="F197" i="1"/>
  <c r="E197" i="1"/>
  <c r="J196" i="1"/>
  <c r="I196" i="1"/>
  <c r="H196" i="1"/>
  <c r="G196" i="1"/>
  <c r="F196" i="1"/>
  <c r="E196" i="1"/>
  <c r="J191" i="1"/>
  <c r="I191" i="1"/>
  <c r="H191" i="1"/>
  <c r="G191" i="1"/>
  <c r="F191" i="1"/>
  <c r="E191" i="1"/>
  <c r="J190" i="1"/>
  <c r="I190" i="1"/>
  <c r="H190" i="1"/>
  <c r="G190" i="1"/>
  <c r="F190" i="1"/>
  <c r="E190" i="1"/>
  <c r="J189" i="1"/>
  <c r="I189" i="1"/>
  <c r="H189" i="1"/>
  <c r="G189" i="1"/>
  <c r="F189" i="1"/>
  <c r="E189" i="1"/>
  <c r="J188" i="1"/>
  <c r="I188" i="1"/>
  <c r="H188" i="1"/>
  <c r="G188" i="1"/>
  <c r="F188" i="1"/>
  <c r="E188" i="1"/>
  <c r="J181" i="1"/>
  <c r="I181" i="1"/>
  <c r="H181" i="1"/>
  <c r="G181" i="1"/>
  <c r="F181" i="1"/>
  <c r="E181" i="1"/>
  <c r="J180" i="1"/>
  <c r="I180" i="1"/>
  <c r="H180" i="1"/>
  <c r="G180" i="1"/>
  <c r="F180" i="1"/>
  <c r="E180" i="1"/>
  <c r="J179" i="1"/>
  <c r="I179" i="1"/>
  <c r="H179" i="1"/>
  <c r="G179" i="1"/>
  <c r="F179" i="1"/>
  <c r="E179" i="1"/>
  <c r="J178" i="1"/>
  <c r="I178" i="1"/>
  <c r="H178" i="1"/>
  <c r="G178" i="1"/>
  <c r="F178" i="1"/>
  <c r="E178" i="1"/>
  <c r="J177" i="1"/>
  <c r="I177" i="1"/>
  <c r="H177" i="1"/>
  <c r="G177" i="1"/>
  <c r="F177" i="1"/>
  <c r="E177" i="1"/>
  <c r="J176" i="1"/>
  <c r="I176" i="1"/>
  <c r="H176" i="1"/>
  <c r="G176" i="1"/>
  <c r="F176" i="1"/>
  <c r="E176" i="1"/>
  <c r="J175" i="1"/>
  <c r="I175" i="1"/>
  <c r="H175" i="1"/>
  <c r="G175" i="1"/>
  <c r="F175" i="1"/>
  <c r="E175" i="1"/>
  <c r="J174" i="1"/>
  <c r="I174" i="1"/>
  <c r="H174" i="1"/>
  <c r="G174" i="1"/>
  <c r="F174" i="1"/>
  <c r="E174" i="1"/>
  <c r="J173" i="1"/>
  <c r="I173" i="1"/>
  <c r="H173" i="1"/>
  <c r="G173" i="1"/>
  <c r="F173" i="1"/>
  <c r="E173" i="1"/>
  <c r="J168" i="1"/>
  <c r="I168" i="1"/>
  <c r="H168" i="1"/>
  <c r="G168" i="1"/>
  <c r="F168" i="1"/>
  <c r="E168" i="1"/>
  <c r="J167" i="1"/>
  <c r="I167" i="1"/>
  <c r="H167" i="1"/>
  <c r="G167" i="1"/>
  <c r="F167" i="1"/>
  <c r="E167" i="1"/>
  <c r="J166" i="1"/>
  <c r="I166" i="1"/>
  <c r="H166" i="1"/>
  <c r="G166" i="1"/>
  <c r="F166" i="1"/>
  <c r="E166" i="1"/>
  <c r="J160" i="1"/>
  <c r="I160" i="1"/>
  <c r="H160" i="1"/>
  <c r="G160" i="1"/>
  <c r="F160" i="1"/>
  <c r="E160" i="1"/>
  <c r="J159" i="1"/>
  <c r="I159" i="1"/>
  <c r="H159" i="1"/>
  <c r="G159" i="1"/>
  <c r="F159" i="1"/>
  <c r="E159" i="1"/>
  <c r="K153" i="1"/>
  <c r="K149" i="1"/>
  <c r="K148" i="1"/>
  <c r="K147" i="1"/>
  <c r="K146" i="1"/>
  <c r="K142" i="1"/>
  <c r="K141" i="1"/>
  <c r="K140" i="1"/>
  <c r="K135" i="1"/>
  <c r="K134" i="1"/>
  <c r="K129" i="1"/>
  <c r="K128" i="1"/>
  <c r="K124" i="1"/>
  <c r="K123" i="1"/>
  <c r="K122" i="1"/>
  <c r="K121" i="1"/>
  <c r="K116" i="1"/>
  <c r="K110" i="1"/>
  <c r="K105" i="1"/>
  <c r="K100" i="1"/>
  <c r="K95" i="1"/>
  <c r="K91" i="1"/>
  <c r="K90" i="1"/>
  <c r="K89" i="1"/>
  <c r="K85" i="1"/>
  <c r="K84" i="1"/>
  <c r="K83" i="1"/>
  <c r="E78" i="1"/>
  <c r="K78" i="1" s="1"/>
  <c r="K79" i="1"/>
  <c r="K77" i="1"/>
  <c r="K73" i="1"/>
  <c r="E71" i="1"/>
  <c r="K71" i="1" s="1"/>
  <c r="E74" i="1"/>
  <c r="K74" i="1" s="1"/>
  <c r="E70" i="1"/>
  <c r="K70" i="1" s="1"/>
  <c r="K72" i="1"/>
  <c r="K212" i="1" l="1"/>
  <c r="K206" i="1"/>
  <c r="K207" i="1"/>
  <c r="K213" i="1"/>
  <c r="K205" i="1"/>
  <c r="K181" i="1"/>
  <c r="K190" i="1"/>
  <c r="K174" i="1"/>
  <c r="K178" i="1"/>
  <c r="K173" i="1"/>
  <c r="K189" i="1"/>
  <c r="K168" i="1"/>
  <c r="K198" i="1"/>
  <c r="K197" i="1"/>
  <c r="K196" i="1"/>
  <c r="K167" i="1"/>
  <c r="K177" i="1"/>
  <c r="K188" i="1"/>
  <c r="K166" i="1"/>
  <c r="K176" i="1"/>
  <c r="K180" i="1"/>
  <c r="K159" i="1"/>
  <c r="K175" i="1"/>
  <c r="K179" i="1"/>
  <c r="K191" i="1"/>
  <c r="K160" i="1"/>
  <c r="K65" i="1"/>
  <c r="K61" i="1"/>
  <c r="K67" i="1"/>
  <c r="K62" i="1"/>
  <c r="K63" i="1"/>
  <c r="K64" i="1"/>
  <c r="K6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5D09E00-A7B5-4F3B-8040-D97D1AC97FC6}" keepAlive="1" name="Abfrage - Tabelle1" description="Verbindung mit der Abfrage 'Tabelle1' in der Arbeitsmappe." type="5" refreshedVersion="0" background="1">
    <dbPr connection="Provider=Microsoft.Mashup.OleDb.1;Data Source=$Workbook$;Location=Tabelle1;Extended Properties=&quot;&quot;" command="SELECT * FROM [Tabelle1]"/>
  </connection>
</connections>
</file>

<file path=xl/sharedStrings.xml><?xml version="1.0" encoding="utf-8"?>
<sst xmlns="http://schemas.openxmlformats.org/spreadsheetml/2006/main" count="846" uniqueCount="172">
  <si>
    <t>Rang</t>
  </si>
  <si>
    <t>Name</t>
  </si>
  <si>
    <t>Verein</t>
  </si>
  <si>
    <t>S-1</t>
  </si>
  <si>
    <t>S-2</t>
  </si>
  <si>
    <t>S-3</t>
  </si>
  <si>
    <t>S-4</t>
  </si>
  <si>
    <t>S-5</t>
  </si>
  <si>
    <t>S-6</t>
  </si>
  <si>
    <t>Gesamt</t>
  </si>
  <si>
    <t>Land</t>
  </si>
  <si>
    <t>Luftpistole Frauen</t>
  </si>
  <si>
    <t>Luftgewehr  Männer</t>
  </si>
  <si>
    <t>Luftgewehr   Frauen</t>
  </si>
  <si>
    <t>KK-Gewehr 2x30   Senioren 1</t>
  </si>
  <si>
    <t>KK-Pistole 50m       Männer</t>
  </si>
  <si>
    <t>KK-Pistole 50m       Senioren 1</t>
  </si>
  <si>
    <t>KK-Pistole 50m       Senioren 2</t>
  </si>
  <si>
    <t>Luftpistole   Senioren 2</t>
  </si>
  <si>
    <t>Luftpistole   Senioren 1</t>
  </si>
  <si>
    <t>Luftpistole   Männer</t>
  </si>
  <si>
    <t>Dimitrova  Doroteya</t>
  </si>
  <si>
    <t>Wien</t>
  </si>
  <si>
    <t>PSV Wien</t>
  </si>
  <si>
    <t>Dyrcz  Emil</t>
  </si>
  <si>
    <t>Dyrcz Emil</t>
  </si>
  <si>
    <t>Karabetian Vanessa</t>
  </si>
  <si>
    <t>Klemenko Polina</t>
  </si>
  <si>
    <t>Major Alexandra</t>
  </si>
  <si>
    <t>Naydenova Stefaniya</t>
  </si>
  <si>
    <t>Prinkel Kurt</t>
  </si>
  <si>
    <t>Renner Thomas</t>
  </si>
  <si>
    <t>Sabitzer Manfred</t>
  </si>
  <si>
    <t>Weiser Günter</t>
  </si>
  <si>
    <t>Widter Wolfgang</t>
  </si>
  <si>
    <t>Keutschegger Dietmat</t>
  </si>
  <si>
    <t>Kärnten</t>
  </si>
  <si>
    <t>LPSV Kärnten</t>
  </si>
  <si>
    <t>Tatschl Bernhard</t>
  </si>
  <si>
    <t>Kopitar Manfred</t>
  </si>
  <si>
    <t>Fink Alois</t>
  </si>
  <si>
    <t>KK-Gewehr 3x20  Männer</t>
  </si>
  <si>
    <t>Kohlweg Silke</t>
  </si>
  <si>
    <t>KK-Gewehr 60 liegend  Frauen</t>
  </si>
  <si>
    <t>KK-Gewehr 3x20   Frauen</t>
  </si>
  <si>
    <t>Mayerhofer Wilfried</t>
  </si>
  <si>
    <t>KK-Gewehr 2x30   Senioren 2</t>
  </si>
  <si>
    <t>Melmer Margit</t>
  </si>
  <si>
    <t>KK-Gewehr 2x30   Frauen</t>
  </si>
  <si>
    <t>Wedenig Theodor</t>
  </si>
  <si>
    <t>Gräfner Thomas</t>
  </si>
  <si>
    <t>Oberösterreich</t>
  </si>
  <si>
    <t>Grüner Alois</t>
  </si>
  <si>
    <t>Strasser Peter</t>
  </si>
  <si>
    <t>Bader Daniel</t>
  </si>
  <si>
    <t>PSV Wels</t>
  </si>
  <si>
    <t>Löschenkohl Karl</t>
  </si>
  <si>
    <t>Steiermark</t>
  </si>
  <si>
    <t>PSV Leoben</t>
  </si>
  <si>
    <t>Drabusenik Johann</t>
  </si>
  <si>
    <t>Scharf Christian</t>
  </si>
  <si>
    <t>Drabusenig Johannes</t>
  </si>
  <si>
    <t>Jammerbund Sonja</t>
  </si>
  <si>
    <t>Niederösterreich</t>
  </si>
  <si>
    <t>LPSV Niederösterreich</t>
  </si>
  <si>
    <t>Zach Michael BSc</t>
  </si>
  <si>
    <t>Vorarlberg</t>
  </si>
  <si>
    <t>PSV Vorarlbereg</t>
  </si>
  <si>
    <t>Batueva Elena</t>
  </si>
  <si>
    <t>Motlicek Rudolf</t>
  </si>
  <si>
    <t>Smehlik Norbert</t>
  </si>
  <si>
    <t>Schaffer Markus</t>
  </si>
  <si>
    <t>25m Standardpistole Frauen</t>
  </si>
  <si>
    <t>25m Standardpistole Männer</t>
  </si>
  <si>
    <t>25m Standardpistole Sen 1</t>
  </si>
  <si>
    <t>25m    Zentralfeuer</t>
  </si>
  <si>
    <t>Wilhelm Peter</t>
  </si>
  <si>
    <t>Wankmüller Rene</t>
  </si>
  <si>
    <t>Degen Stefan</t>
  </si>
  <si>
    <t>LPSV OÖ</t>
  </si>
  <si>
    <t>Steinkleibl Iris</t>
  </si>
  <si>
    <t>Degen Werner</t>
  </si>
  <si>
    <t>Baumgartner Margareta</t>
  </si>
  <si>
    <t>Baumgartner Karl H.</t>
  </si>
  <si>
    <t>Mairinger Franz</t>
  </si>
  <si>
    <t>Mistelbacher Fabian</t>
  </si>
  <si>
    <t>Baumgartner Karl Heinz</t>
  </si>
  <si>
    <t xml:space="preserve">25m Sportpistole      Frauen   </t>
  </si>
  <si>
    <t>25m Sportpistole       Sen 2</t>
  </si>
  <si>
    <t>25m Sportpistole       Sen 1</t>
  </si>
  <si>
    <t>Ortsik Andreas</t>
  </si>
  <si>
    <t>Prader Florian</t>
  </si>
  <si>
    <t xml:space="preserve">PSV Linz </t>
  </si>
  <si>
    <t xml:space="preserve">LPSV Kärnten </t>
  </si>
  <si>
    <t>KK-Pistole 50m       Frauen</t>
  </si>
  <si>
    <t>Haim Michael</t>
  </si>
  <si>
    <t>Marica Daniela</t>
  </si>
  <si>
    <t>Ortner Leopold</t>
  </si>
  <si>
    <t>Tirol</t>
  </si>
  <si>
    <t>PSV Tirol</t>
  </si>
  <si>
    <t>Sintitsch Michael</t>
  </si>
  <si>
    <t>PSV Villach</t>
  </si>
  <si>
    <t>Hillinger Monik</t>
  </si>
  <si>
    <t>DNS</t>
  </si>
  <si>
    <t xml:space="preserve">13. Verbandsmeisterschaft ÖPOLSV  2022      </t>
  </si>
  <si>
    <t xml:space="preserve">13. Verbandsmeisterschaft ÖPOLSV  2022   </t>
  </si>
  <si>
    <r>
      <rPr>
        <b/>
        <sz val="12"/>
        <color theme="1"/>
        <rFont val="Arial Black"/>
        <family val="2"/>
      </rPr>
      <t>13. Verbandsmeisterschaft ÖPOLSV  2022</t>
    </r>
    <r>
      <rPr>
        <sz val="12"/>
        <color theme="1"/>
        <rFont val="Arial Black"/>
        <family val="2"/>
      </rPr>
      <t xml:space="preserve">      </t>
    </r>
  </si>
  <si>
    <r>
      <rPr>
        <b/>
        <sz val="12"/>
        <color theme="1"/>
        <rFont val="Arial Black"/>
        <family val="2"/>
      </rPr>
      <t>13. Verbandsmeisterschaft ÖPOLSV  2022</t>
    </r>
    <r>
      <rPr>
        <sz val="12"/>
        <color theme="1"/>
        <rFont val="Arial Black"/>
        <family val="2"/>
      </rPr>
      <t xml:space="preserve">   </t>
    </r>
  </si>
  <si>
    <t xml:space="preserve">Luftgewehr   Senioren 1 </t>
  </si>
  <si>
    <t xml:space="preserve">Luftgewehr   Senioren 2 </t>
  </si>
  <si>
    <t>KK-Gewehr 60 liegend All Klasse</t>
  </si>
  <si>
    <t>Keutschegger Dietmar</t>
  </si>
  <si>
    <t>25m Standardpistole Sen 2</t>
  </si>
  <si>
    <t>PSV Wien 1</t>
  </si>
  <si>
    <t>PSV Wien 2</t>
  </si>
  <si>
    <t>Kofler Hellmut</t>
  </si>
  <si>
    <t>LPSV Oberösterreich</t>
  </si>
  <si>
    <t>Mannschaftswertung</t>
  </si>
  <si>
    <t>Dyrcz Email</t>
  </si>
  <si>
    <t>1.</t>
  </si>
  <si>
    <t xml:space="preserve">PSV Leoben </t>
  </si>
  <si>
    <t>2.</t>
  </si>
  <si>
    <t>PSV Linz</t>
  </si>
  <si>
    <t>3.</t>
  </si>
  <si>
    <t>Naydenova Stefanyia</t>
  </si>
  <si>
    <t>4.</t>
  </si>
  <si>
    <t>5.</t>
  </si>
  <si>
    <t>6.</t>
  </si>
  <si>
    <t>LPSV Kärnten 1</t>
  </si>
  <si>
    <t>LPSV Kärnten 2</t>
  </si>
  <si>
    <t>Luftpistole - Mannschaft</t>
  </si>
  <si>
    <t>Luftgewehr - Mannschaft</t>
  </si>
  <si>
    <t>Sportpistole - Mannschaft</t>
  </si>
  <si>
    <t xml:space="preserve">Baumgartner Karl </t>
  </si>
  <si>
    <t>Standardpistole - Mannschaft</t>
  </si>
  <si>
    <t>Mayringer Franz</t>
  </si>
  <si>
    <t>50 m Pistole - Mannschaft</t>
  </si>
  <si>
    <t>PSV Vorarlberg</t>
  </si>
  <si>
    <t>PSV Niederösterreich</t>
  </si>
  <si>
    <t>60 liegend</t>
  </si>
  <si>
    <t>25m ZF/SpP</t>
  </si>
  <si>
    <t>50m Pistole</t>
  </si>
  <si>
    <t>25m StdP</t>
  </si>
  <si>
    <t>8 / 22</t>
  </si>
  <si>
    <t>17 / 36</t>
  </si>
  <si>
    <t>7 / 17</t>
  </si>
  <si>
    <t>3 / 10</t>
  </si>
  <si>
    <t>1 / 3</t>
  </si>
  <si>
    <t>1 / 1</t>
  </si>
  <si>
    <t>6 / 8</t>
  </si>
  <si>
    <t>4 / 7</t>
  </si>
  <si>
    <t>1 / 2</t>
  </si>
  <si>
    <t>49 / 109</t>
  </si>
  <si>
    <t>Teilnehmer  /  Starts</t>
  </si>
  <si>
    <t>Teilnehmerliste</t>
  </si>
  <si>
    <t>13.  Verbandsmeisterschaft</t>
  </si>
  <si>
    <t>ÖPOLSV  2022</t>
  </si>
  <si>
    <t>22. bis 24. September 2022</t>
  </si>
  <si>
    <t>Durchführung :   PSV Wels</t>
  </si>
  <si>
    <t>Ergebnisse:</t>
  </si>
  <si>
    <t>Luftpistole</t>
  </si>
  <si>
    <t>Luftgewehr</t>
  </si>
  <si>
    <t>Zentralfeuer / Sportpistole</t>
  </si>
  <si>
    <t>Standardpistole</t>
  </si>
  <si>
    <t>KK-Gewehr  60 liegend</t>
  </si>
  <si>
    <t>KK-Gewehr  2 x 30  /  3 x 20</t>
  </si>
  <si>
    <r>
      <rPr>
        <b/>
        <sz val="11"/>
        <color rgb="FFFF0000"/>
        <rFont val="Arial Black"/>
        <family val="2"/>
      </rPr>
      <t xml:space="preserve">Ehrenschutz:  </t>
    </r>
    <r>
      <rPr>
        <b/>
        <sz val="11"/>
        <color theme="1"/>
        <rFont val="Arial Black"/>
        <family val="2"/>
      </rPr>
      <t xml:space="preserve">     Präsident PSV Wels    Vizebürgermeister  Kroiss Gerhard</t>
    </r>
  </si>
  <si>
    <t>Impressum:</t>
  </si>
  <si>
    <t>Polizeisportverein  Wels</t>
  </si>
  <si>
    <t>OSM Pointner Günter (Schießsport)</t>
  </si>
  <si>
    <t xml:space="preserve">KK  2 x 30 </t>
  </si>
  <si>
    <t>KK 3 x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</si>
</sst>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Arial Black"/>
      <family val="2"/>
    </font>
    <font>
      <b/>
      <sz val="12"/>
      <color theme="1"/>
      <name val="Arial Black"/>
      <family val="2"/>
    </font>
    <font>
      <sz val="11"/>
      <color theme="1"/>
      <name val="Arial Black"/>
      <family val="2"/>
    </font>
    <font>
      <sz val="12"/>
      <name val="Arial Black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Arial Black"/>
      <family val="2"/>
    </font>
    <font>
      <b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Verdana"/>
      <family val="2"/>
    </font>
    <font>
      <sz val="8"/>
      <color theme="1"/>
      <name val="Verdana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i/>
      <sz val="24"/>
      <color theme="1"/>
      <name val="Arial Black"/>
      <family val="2"/>
    </font>
    <font>
      <i/>
      <sz val="24"/>
      <color theme="1"/>
      <name val="Calibri"/>
      <family val="2"/>
      <scheme val="minor"/>
    </font>
    <font>
      <i/>
      <sz val="24"/>
      <color theme="1"/>
      <name val="Wide Latin"/>
      <family val="1"/>
    </font>
    <font>
      <sz val="18"/>
      <color theme="1"/>
      <name val="Wide Latin"/>
      <family val="1"/>
    </font>
    <font>
      <sz val="18"/>
      <color rgb="FFFF0000"/>
      <name val="Wide Latin"/>
      <family val="1"/>
    </font>
    <font>
      <sz val="20"/>
      <color rgb="FF00B050"/>
      <name val="Wide Latin"/>
      <family val="1"/>
    </font>
    <font>
      <sz val="24"/>
      <color rgb="FF00B050"/>
      <name val="Wide Latin"/>
      <family val="1"/>
    </font>
    <font>
      <b/>
      <sz val="11"/>
      <color theme="1"/>
      <name val="Arial Black"/>
      <family val="2"/>
    </font>
    <font>
      <b/>
      <sz val="11"/>
      <color rgb="FFFF0000"/>
      <name val="Arial Black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51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49" fontId="20" fillId="0" borderId="6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49" fontId="22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textRotation="90" wrapText="1"/>
    </xf>
    <xf numFmtId="0" fontId="22" fillId="0" borderId="5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114300</xdr:rowOff>
    </xdr:from>
    <xdr:to>
      <xdr:col>2</xdr:col>
      <xdr:colOff>28575</xdr:colOff>
      <xdr:row>9</xdr:row>
      <xdr:rowOff>276224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A5AFFDC-9F25-4701-6449-9F1F4D411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04800"/>
          <a:ext cx="1133475" cy="1495424"/>
        </a:xfrm>
        <a:prstGeom prst="rect">
          <a:avLst/>
        </a:prstGeom>
      </xdr:spPr>
    </xdr:pic>
    <xdr:clientData/>
  </xdr:twoCellAnchor>
  <xdr:twoCellAnchor editAs="oneCell">
    <xdr:from>
      <xdr:col>2</xdr:col>
      <xdr:colOff>419100</xdr:colOff>
      <xdr:row>3</xdr:row>
      <xdr:rowOff>0</xdr:rowOff>
    </xdr:from>
    <xdr:to>
      <xdr:col>5</xdr:col>
      <xdr:colOff>400051</xdr:colOff>
      <xdr:row>9</xdr:row>
      <xdr:rowOff>304800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E9A88B00-9D72-3139-AD26-6F764116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381000"/>
          <a:ext cx="2619376" cy="1447800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3</xdr:row>
      <xdr:rowOff>19050</xdr:rowOff>
    </xdr:from>
    <xdr:to>
      <xdr:col>10</xdr:col>
      <xdr:colOff>295275</xdr:colOff>
      <xdr:row>9</xdr:row>
      <xdr:rowOff>361950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F9BEAE72-0048-BBFF-FFF0-3771139F11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2025" y="400050"/>
          <a:ext cx="16383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39BC9-68C5-4ED9-8B4F-0C07221B269E}">
  <dimension ref="A1:K331"/>
  <sheetViews>
    <sheetView tabSelected="1" topLeftCell="A288" workbookViewId="0">
      <selection activeCell="B305" sqref="B305"/>
    </sheetView>
  </sheetViews>
  <sheetFormatPr baseColWidth="10" defaultRowHeight="15" x14ac:dyDescent="0.25"/>
  <cols>
    <col min="1" max="1" width="3.5703125" style="1" customWidth="1"/>
    <col min="2" max="2" width="17.85546875" style="100" customWidth="1"/>
    <col min="3" max="3" width="13.7109375" style="1" customWidth="1"/>
    <col min="4" max="4" width="19.7109375" style="1" customWidth="1"/>
    <col min="5" max="10" width="6.140625" style="1" customWidth="1"/>
    <col min="11" max="11" width="7" style="1" customWidth="1"/>
  </cols>
  <sheetData>
    <row r="1" spans="1:11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42.75" customHeight="1" x14ac:dyDescent="0.25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x14ac:dyDescent="0.2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2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2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2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2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2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2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30.75" customHeight="1" x14ac:dyDescent="0.2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ht="30.75" customHeight="1" x14ac:dyDescent="0.2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ht="51" customHeight="1" x14ac:dyDescent="0.25">
      <c r="A12" s="190" t="s">
        <v>155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</row>
    <row r="13" spans="1:11" ht="37.5" customHeight="1" x14ac:dyDescent="0.25">
      <c r="A13" s="191" t="s">
        <v>156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</row>
    <row r="14" spans="1:11" x14ac:dyDescent="0.25">
      <c r="A14" s="151"/>
      <c r="B14" s="152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28.5" customHeight="1" x14ac:dyDescent="0.25">
      <c r="A15" s="192" t="s">
        <v>157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</row>
    <row r="16" spans="1:11" ht="25.5" customHeight="1" x14ac:dyDescent="0.25">
      <c r="A16" s="151"/>
      <c r="B16" s="152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21.75" customHeight="1" x14ac:dyDescent="0.25">
      <c r="A17" s="193" t="s">
        <v>158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</row>
    <row r="18" spans="1:11" ht="55.5" customHeight="1" x14ac:dyDescent="0.25">
      <c r="A18" s="194" t="s">
        <v>166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ht="38.25" customHeight="1" x14ac:dyDescent="0.25">
      <c r="A19" s="195" t="s">
        <v>159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</row>
    <row r="20" spans="1:11" ht="19.5" customHeight="1" x14ac:dyDescent="0.25">
      <c r="A20" s="151"/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spans="1:11" ht="32.25" customHeight="1" x14ac:dyDescent="0.25">
      <c r="A21" s="154" t="s">
        <v>160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</row>
    <row r="22" spans="1:11" ht="34.5" customHeight="1" x14ac:dyDescent="0.25">
      <c r="A22" s="154" t="s">
        <v>161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</row>
    <row r="23" spans="1:11" ht="34.5" customHeight="1" x14ac:dyDescent="0.25">
      <c r="A23" s="154" t="s">
        <v>141</v>
      </c>
      <c r="B23" s="154"/>
      <c r="C23" s="154"/>
      <c r="D23" s="154"/>
      <c r="E23" s="154"/>
      <c r="F23" s="154"/>
      <c r="G23" s="154"/>
      <c r="H23" s="154"/>
      <c r="I23" s="154"/>
      <c r="J23" s="154"/>
      <c r="K23" s="154"/>
    </row>
    <row r="24" spans="1:11" ht="34.5" customHeight="1" x14ac:dyDescent="0.25">
      <c r="A24" s="154" t="s">
        <v>162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</row>
    <row r="25" spans="1:11" ht="34.5" customHeight="1" x14ac:dyDescent="0.25">
      <c r="A25" s="154" t="s">
        <v>163</v>
      </c>
      <c r="B25" s="154"/>
      <c r="C25" s="154"/>
      <c r="D25" s="154"/>
      <c r="E25" s="154"/>
      <c r="F25" s="154"/>
      <c r="G25" s="154"/>
      <c r="H25" s="154"/>
      <c r="I25" s="154"/>
      <c r="J25" s="154"/>
      <c r="K25" s="154"/>
    </row>
    <row r="26" spans="1:11" ht="33.75" customHeight="1" x14ac:dyDescent="0.25">
      <c r="A26" s="154" t="s">
        <v>165</v>
      </c>
      <c r="B26" s="154"/>
      <c r="C26" s="154"/>
      <c r="D26" s="154"/>
      <c r="E26" s="154"/>
      <c r="F26" s="154"/>
      <c r="G26" s="154"/>
      <c r="H26" s="154"/>
      <c r="I26" s="154"/>
      <c r="J26" s="154"/>
      <c r="K26" s="154"/>
    </row>
    <row r="27" spans="1:11" ht="31.5" customHeight="1" thickBot="1" x14ac:dyDescent="0.3">
      <c r="A27" s="155" t="s">
        <v>164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22.5" customHeight="1" thickBot="1" x14ac:dyDescent="0.3">
      <c r="A28" s="162" t="s">
        <v>106</v>
      </c>
      <c r="B28" s="163"/>
      <c r="C28" s="163"/>
      <c r="D28" s="164"/>
      <c r="E28" s="159" t="s">
        <v>20</v>
      </c>
      <c r="F28" s="160"/>
      <c r="G28" s="160"/>
      <c r="H28" s="160"/>
      <c r="I28" s="160"/>
      <c r="J28" s="160"/>
      <c r="K28" s="161"/>
    </row>
    <row r="29" spans="1:11" x14ac:dyDescent="0.25">
      <c r="A29" s="6" t="s">
        <v>0</v>
      </c>
      <c r="B29" s="81" t="s">
        <v>1</v>
      </c>
      <c r="C29" s="2" t="s">
        <v>10</v>
      </c>
      <c r="D29" s="2" t="s">
        <v>2</v>
      </c>
      <c r="E29" s="2" t="s">
        <v>3</v>
      </c>
      <c r="F29" s="2" t="s">
        <v>4</v>
      </c>
      <c r="G29" s="2" t="s">
        <v>5</v>
      </c>
      <c r="H29" s="2" t="s">
        <v>6</v>
      </c>
      <c r="I29" s="2" t="s">
        <v>7</v>
      </c>
      <c r="J29" s="2" t="s">
        <v>8</v>
      </c>
      <c r="K29" s="7" t="s">
        <v>9</v>
      </c>
    </row>
    <row r="30" spans="1:11" ht="13.9" customHeight="1" x14ac:dyDescent="0.25">
      <c r="A30" s="8">
        <v>1</v>
      </c>
      <c r="B30" s="82" t="s">
        <v>77</v>
      </c>
      <c r="C30" s="3" t="s">
        <v>57</v>
      </c>
      <c r="D30" s="3" t="s">
        <v>58</v>
      </c>
      <c r="E30" s="52">
        <v>92</v>
      </c>
      <c r="F30" s="52">
        <v>93</v>
      </c>
      <c r="G30" s="52">
        <v>92</v>
      </c>
      <c r="H30" s="52">
        <v>91</v>
      </c>
      <c r="I30" s="52">
        <v>88</v>
      </c>
      <c r="J30" s="52">
        <v>97</v>
      </c>
      <c r="K30" s="55">
        <f>SUM(E30:J30)</f>
        <v>553</v>
      </c>
    </row>
    <row r="31" spans="1:11" x14ac:dyDescent="0.25">
      <c r="A31" s="8">
        <v>2</v>
      </c>
      <c r="B31" s="82" t="s">
        <v>25</v>
      </c>
      <c r="C31" s="3" t="s">
        <v>22</v>
      </c>
      <c r="D31" s="3" t="s">
        <v>23</v>
      </c>
      <c r="E31" s="52">
        <v>93</v>
      </c>
      <c r="F31" s="52">
        <v>92</v>
      </c>
      <c r="G31" s="52">
        <v>90</v>
      </c>
      <c r="H31" s="52">
        <v>90</v>
      </c>
      <c r="I31" s="52">
        <v>92</v>
      </c>
      <c r="J31" s="52">
        <v>95</v>
      </c>
      <c r="K31" s="55">
        <f>SUM(E31:J31)</f>
        <v>552</v>
      </c>
    </row>
    <row r="32" spans="1:11" x14ac:dyDescent="0.25">
      <c r="A32" s="8">
        <v>3</v>
      </c>
      <c r="B32" s="82" t="s">
        <v>76</v>
      </c>
      <c r="C32" s="3" t="s">
        <v>22</v>
      </c>
      <c r="D32" s="3" t="s">
        <v>23</v>
      </c>
      <c r="E32" s="52">
        <v>86</v>
      </c>
      <c r="F32" s="52">
        <v>82</v>
      </c>
      <c r="G32" s="52">
        <v>83</v>
      </c>
      <c r="H32" s="52">
        <v>79</v>
      </c>
      <c r="I32" s="52">
        <v>83</v>
      </c>
      <c r="J32" s="52">
        <v>86</v>
      </c>
      <c r="K32" s="55">
        <f>SUM(E32:J32)</f>
        <v>499</v>
      </c>
    </row>
    <row r="33" spans="1:11" x14ac:dyDescent="0.25">
      <c r="A33" s="8">
        <v>4</v>
      </c>
      <c r="B33" s="82" t="s">
        <v>31</v>
      </c>
      <c r="C33" s="3" t="s">
        <v>22</v>
      </c>
      <c r="D33" s="3" t="s">
        <v>23</v>
      </c>
      <c r="E33" s="59"/>
      <c r="F33" s="59"/>
      <c r="G33" s="59"/>
      <c r="H33" s="59"/>
      <c r="I33" s="59"/>
      <c r="J33" s="59"/>
      <c r="K33" s="9" t="s">
        <v>103</v>
      </c>
    </row>
    <row r="34" spans="1:11" x14ac:dyDescent="0.25">
      <c r="A34" s="8">
        <v>5</v>
      </c>
      <c r="B34" s="82" t="s">
        <v>35</v>
      </c>
      <c r="C34" s="3" t="s">
        <v>36</v>
      </c>
      <c r="D34" s="3" t="s">
        <v>37</v>
      </c>
      <c r="E34" s="59"/>
      <c r="F34" s="59"/>
      <c r="G34" s="59"/>
      <c r="H34" s="59"/>
      <c r="I34" s="59"/>
      <c r="J34" s="59"/>
      <c r="K34" s="9" t="s">
        <v>103</v>
      </c>
    </row>
    <row r="35" spans="1:11" ht="15.75" thickBot="1" x14ac:dyDescent="0.3">
      <c r="A35" s="10">
        <v>6</v>
      </c>
      <c r="B35" s="95" t="s">
        <v>78</v>
      </c>
      <c r="C35" s="11" t="s">
        <v>51</v>
      </c>
      <c r="D35" s="11" t="s">
        <v>79</v>
      </c>
      <c r="E35" s="72"/>
      <c r="F35" s="72"/>
      <c r="G35" s="72"/>
      <c r="H35" s="72"/>
      <c r="I35" s="72"/>
      <c r="J35" s="72"/>
      <c r="K35" s="12" t="s">
        <v>103</v>
      </c>
    </row>
    <row r="36" spans="1:11" ht="26.25" customHeight="1" thickBot="1" x14ac:dyDescent="0.3">
      <c r="A36" s="162" t="s">
        <v>104</v>
      </c>
      <c r="B36" s="163"/>
      <c r="C36" s="163"/>
      <c r="D36" s="164"/>
      <c r="E36" s="159" t="s">
        <v>11</v>
      </c>
      <c r="F36" s="160"/>
      <c r="G36" s="160"/>
      <c r="H36" s="160"/>
      <c r="I36" s="160"/>
      <c r="J36" s="160"/>
      <c r="K36" s="161"/>
    </row>
    <row r="37" spans="1:11" x14ac:dyDescent="0.25">
      <c r="A37" s="6" t="s">
        <v>0</v>
      </c>
      <c r="B37" s="81" t="s">
        <v>1</v>
      </c>
      <c r="C37" s="2" t="s">
        <v>10</v>
      </c>
      <c r="D37" s="2" t="s">
        <v>2</v>
      </c>
      <c r="E37" s="2" t="s">
        <v>3</v>
      </c>
      <c r="F37" s="2" t="s">
        <v>4</v>
      </c>
      <c r="G37" s="2" t="s">
        <v>5</v>
      </c>
      <c r="H37" s="2" t="s">
        <v>6</v>
      </c>
      <c r="I37" s="2" t="s">
        <v>7</v>
      </c>
      <c r="J37" s="2" t="s">
        <v>8</v>
      </c>
      <c r="K37" s="7" t="s">
        <v>9</v>
      </c>
    </row>
    <row r="38" spans="1:11" x14ac:dyDescent="0.25">
      <c r="A38" s="8">
        <v>1</v>
      </c>
      <c r="B38" s="82" t="s">
        <v>27</v>
      </c>
      <c r="C38" s="3" t="s">
        <v>22</v>
      </c>
      <c r="D38" s="3" t="s">
        <v>23</v>
      </c>
      <c r="E38" s="52">
        <v>95</v>
      </c>
      <c r="F38" s="52">
        <v>94</v>
      </c>
      <c r="G38" s="52">
        <v>91</v>
      </c>
      <c r="H38" s="52">
        <v>92</v>
      </c>
      <c r="I38" s="52">
        <v>96</v>
      </c>
      <c r="J38" s="52">
        <v>93</v>
      </c>
      <c r="K38" s="55">
        <f t="shared" ref="K38:K47" si="0">SUM(E38:J38)</f>
        <v>561</v>
      </c>
    </row>
    <row r="39" spans="1:11" x14ac:dyDescent="0.25">
      <c r="A39" s="8">
        <v>2</v>
      </c>
      <c r="B39" s="82" t="s">
        <v>62</v>
      </c>
      <c r="C39" s="3" t="s">
        <v>63</v>
      </c>
      <c r="D39" s="3" t="s">
        <v>64</v>
      </c>
      <c r="E39" s="52">
        <v>94</v>
      </c>
      <c r="F39" s="52">
        <v>95</v>
      </c>
      <c r="G39" s="52">
        <v>94</v>
      </c>
      <c r="H39" s="52">
        <v>93</v>
      </c>
      <c r="I39" s="52">
        <v>92</v>
      </c>
      <c r="J39" s="52">
        <v>87</v>
      </c>
      <c r="K39" s="55">
        <f t="shared" si="0"/>
        <v>555</v>
      </c>
    </row>
    <row r="40" spans="1:11" x14ac:dyDescent="0.25">
      <c r="A40" s="8">
        <v>3</v>
      </c>
      <c r="B40" s="82" t="s">
        <v>29</v>
      </c>
      <c r="C40" s="3" t="s">
        <v>22</v>
      </c>
      <c r="D40" s="3" t="s">
        <v>23</v>
      </c>
      <c r="E40" s="52">
        <v>85</v>
      </c>
      <c r="F40" s="52">
        <v>93</v>
      </c>
      <c r="G40" s="52">
        <v>92</v>
      </c>
      <c r="H40" s="52">
        <v>89</v>
      </c>
      <c r="I40" s="52">
        <v>91</v>
      </c>
      <c r="J40" s="52">
        <v>91</v>
      </c>
      <c r="K40" s="55">
        <f t="shared" si="0"/>
        <v>541</v>
      </c>
    </row>
    <row r="41" spans="1:11" x14ac:dyDescent="0.25">
      <c r="A41" s="8">
        <v>4</v>
      </c>
      <c r="B41" s="82" t="s">
        <v>68</v>
      </c>
      <c r="C41" s="3" t="s">
        <v>22</v>
      </c>
      <c r="D41" s="3" t="s">
        <v>23</v>
      </c>
      <c r="E41" s="52">
        <v>93</v>
      </c>
      <c r="F41" s="52">
        <v>88</v>
      </c>
      <c r="G41" s="52">
        <v>83</v>
      </c>
      <c r="H41" s="52">
        <v>92</v>
      </c>
      <c r="I41" s="52">
        <v>90</v>
      </c>
      <c r="J41" s="52">
        <v>91</v>
      </c>
      <c r="K41" s="55">
        <f t="shared" si="0"/>
        <v>537</v>
      </c>
    </row>
    <row r="42" spans="1:11" x14ac:dyDescent="0.25">
      <c r="A42" s="8">
        <v>5</v>
      </c>
      <c r="B42" s="82" t="s">
        <v>80</v>
      </c>
      <c r="C42" s="3" t="s">
        <v>51</v>
      </c>
      <c r="D42" s="3" t="s">
        <v>79</v>
      </c>
      <c r="E42" s="52">
        <v>88</v>
      </c>
      <c r="F42" s="52">
        <v>88</v>
      </c>
      <c r="G42" s="52">
        <v>85</v>
      </c>
      <c r="H42" s="52">
        <v>86</v>
      </c>
      <c r="I42" s="52">
        <v>86</v>
      </c>
      <c r="J42" s="52">
        <v>86</v>
      </c>
      <c r="K42" s="55">
        <f t="shared" si="0"/>
        <v>519</v>
      </c>
    </row>
    <row r="43" spans="1:11" x14ac:dyDescent="0.25">
      <c r="A43" s="8">
        <v>6</v>
      </c>
      <c r="B43" s="82" t="s">
        <v>28</v>
      </c>
      <c r="C43" s="3" t="s">
        <v>22</v>
      </c>
      <c r="D43" s="3" t="s">
        <v>23</v>
      </c>
      <c r="E43" s="52">
        <v>85</v>
      </c>
      <c r="F43" s="52">
        <v>82</v>
      </c>
      <c r="G43" s="52">
        <v>88</v>
      </c>
      <c r="H43" s="52">
        <v>88</v>
      </c>
      <c r="I43" s="52">
        <v>86</v>
      </c>
      <c r="J43" s="52">
        <v>89</v>
      </c>
      <c r="K43" s="55">
        <f t="shared" si="0"/>
        <v>518</v>
      </c>
    </row>
    <row r="44" spans="1:11" x14ac:dyDescent="0.25">
      <c r="A44" s="8">
        <v>7</v>
      </c>
      <c r="B44" s="82" t="s">
        <v>21</v>
      </c>
      <c r="C44" s="3" t="s">
        <v>22</v>
      </c>
      <c r="D44" s="3" t="s">
        <v>23</v>
      </c>
      <c r="E44" s="52">
        <v>79</v>
      </c>
      <c r="F44" s="52">
        <v>86</v>
      </c>
      <c r="G44" s="52">
        <v>89</v>
      </c>
      <c r="H44" s="52">
        <v>91</v>
      </c>
      <c r="I44" s="52">
        <v>90</v>
      </c>
      <c r="J44" s="52">
        <v>79</v>
      </c>
      <c r="K44" s="55">
        <f t="shared" si="0"/>
        <v>514</v>
      </c>
    </row>
    <row r="45" spans="1:11" x14ac:dyDescent="0.25">
      <c r="A45" s="8">
        <v>8</v>
      </c>
      <c r="B45" s="82" t="s">
        <v>82</v>
      </c>
      <c r="C45" s="3" t="s">
        <v>51</v>
      </c>
      <c r="D45" s="3" t="s">
        <v>79</v>
      </c>
      <c r="E45" s="52">
        <v>81</v>
      </c>
      <c r="F45" s="52">
        <v>88</v>
      </c>
      <c r="G45" s="52">
        <v>88</v>
      </c>
      <c r="H45" s="52">
        <v>80</v>
      </c>
      <c r="I45" s="52">
        <v>86</v>
      </c>
      <c r="J45" s="52">
        <v>82</v>
      </c>
      <c r="K45" s="55">
        <f t="shared" si="0"/>
        <v>505</v>
      </c>
    </row>
    <row r="46" spans="1:11" x14ac:dyDescent="0.25">
      <c r="A46" s="8">
        <v>9</v>
      </c>
      <c r="B46" s="82" t="s">
        <v>102</v>
      </c>
      <c r="C46" s="3" t="s">
        <v>51</v>
      </c>
      <c r="D46" s="3" t="s">
        <v>55</v>
      </c>
      <c r="E46" s="52">
        <v>85</v>
      </c>
      <c r="F46" s="52">
        <v>84</v>
      </c>
      <c r="G46" s="52">
        <v>85</v>
      </c>
      <c r="H46" s="52">
        <v>79</v>
      </c>
      <c r="I46" s="52">
        <v>84</v>
      </c>
      <c r="J46" s="52">
        <v>84</v>
      </c>
      <c r="K46" s="55">
        <f t="shared" si="0"/>
        <v>501</v>
      </c>
    </row>
    <row r="47" spans="1:11" x14ac:dyDescent="0.25">
      <c r="A47" s="8">
        <v>10</v>
      </c>
      <c r="B47" s="82" t="s">
        <v>26</v>
      </c>
      <c r="C47" s="3" t="s">
        <v>22</v>
      </c>
      <c r="D47" s="3" t="s">
        <v>23</v>
      </c>
      <c r="E47" s="52">
        <v>53</v>
      </c>
      <c r="F47" s="52">
        <v>69</v>
      </c>
      <c r="G47" s="52">
        <v>83</v>
      </c>
      <c r="H47" s="52">
        <v>83</v>
      </c>
      <c r="I47" s="52">
        <v>89</v>
      </c>
      <c r="J47" s="52">
        <v>79</v>
      </c>
      <c r="K47" s="55">
        <f t="shared" si="0"/>
        <v>456</v>
      </c>
    </row>
    <row r="48" spans="1:11" ht="15.75" thickBot="1" x14ac:dyDescent="0.3">
      <c r="A48" s="24"/>
      <c r="B48" s="83"/>
      <c r="C48" s="26"/>
      <c r="D48" s="27"/>
      <c r="E48" s="28"/>
      <c r="F48" s="28"/>
      <c r="G48" s="28"/>
      <c r="H48" s="28"/>
      <c r="I48" s="28"/>
      <c r="J48" s="28"/>
      <c r="K48" s="9"/>
    </row>
    <row r="49" spans="1:11" ht="22.15" customHeight="1" thickBot="1" x14ac:dyDescent="0.3">
      <c r="A49" s="165" t="s">
        <v>104</v>
      </c>
      <c r="B49" s="166"/>
      <c r="C49" s="166"/>
      <c r="D49" s="167"/>
      <c r="E49" s="159" t="s">
        <v>19</v>
      </c>
      <c r="F49" s="160"/>
      <c r="G49" s="160"/>
      <c r="H49" s="160"/>
      <c r="I49" s="160"/>
      <c r="J49" s="160"/>
      <c r="K49" s="161"/>
    </row>
    <row r="50" spans="1:11" x14ac:dyDescent="0.25">
      <c r="A50" s="6" t="s">
        <v>0</v>
      </c>
      <c r="B50" s="81" t="s">
        <v>1</v>
      </c>
      <c r="C50" s="2" t="s">
        <v>10</v>
      </c>
      <c r="D50" s="2" t="s">
        <v>2</v>
      </c>
      <c r="E50" s="2" t="s">
        <v>3</v>
      </c>
      <c r="F50" s="2" t="s">
        <v>4</v>
      </c>
      <c r="G50" s="2" t="s">
        <v>5</v>
      </c>
      <c r="H50" s="2" t="s">
        <v>6</v>
      </c>
      <c r="I50" s="2"/>
      <c r="J50" s="2"/>
      <c r="K50" s="7" t="s">
        <v>9</v>
      </c>
    </row>
    <row r="51" spans="1:11" x14ac:dyDescent="0.25">
      <c r="A51" s="8">
        <v>1</v>
      </c>
      <c r="B51" s="82" t="s">
        <v>34</v>
      </c>
      <c r="C51" s="3" t="s">
        <v>22</v>
      </c>
      <c r="D51" s="3" t="s">
        <v>23</v>
      </c>
      <c r="E51" s="52">
        <v>89</v>
      </c>
      <c r="F51" s="52">
        <v>93</v>
      </c>
      <c r="G51" s="52">
        <v>94</v>
      </c>
      <c r="H51" s="52">
        <v>94</v>
      </c>
      <c r="I51" s="3"/>
      <c r="J51" s="3"/>
      <c r="K51" s="55">
        <f>SUM(E51:J51)</f>
        <v>370</v>
      </c>
    </row>
    <row r="52" spans="1:11" x14ac:dyDescent="0.25">
      <c r="A52" s="8">
        <v>2</v>
      </c>
      <c r="B52" s="82" t="s">
        <v>115</v>
      </c>
      <c r="C52" s="3" t="s">
        <v>22</v>
      </c>
      <c r="D52" s="3" t="s">
        <v>23</v>
      </c>
      <c r="E52" s="52">
        <v>91</v>
      </c>
      <c r="F52" s="52">
        <v>90</v>
      </c>
      <c r="G52" s="52">
        <v>90</v>
      </c>
      <c r="H52" s="52">
        <v>88</v>
      </c>
      <c r="I52" s="3"/>
      <c r="J52" s="3"/>
      <c r="K52" s="55">
        <f>SUM(E52:J52)</f>
        <v>359</v>
      </c>
    </row>
    <row r="53" spans="1:11" x14ac:dyDescent="0.25">
      <c r="A53" s="8">
        <v>3</v>
      </c>
      <c r="B53" s="82" t="s">
        <v>60</v>
      </c>
      <c r="C53" s="3" t="s">
        <v>57</v>
      </c>
      <c r="D53" s="3" t="s">
        <v>58</v>
      </c>
      <c r="E53" s="52">
        <v>86</v>
      </c>
      <c r="F53" s="52">
        <v>89</v>
      </c>
      <c r="G53" s="52">
        <v>87</v>
      </c>
      <c r="H53" s="52">
        <v>89</v>
      </c>
      <c r="I53" s="3"/>
      <c r="J53" s="3"/>
      <c r="K53" s="55">
        <f>SUM(E53:J53)</f>
        <v>351</v>
      </c>
    </row>
    <row r="54" spans="1:11" x14ac:dyDescent="0.25">
      <c r="A54" s="8">
        <v>4</v>
      </c>
      <c r="B54" s="82" t="s">
        <v>97</v>
      </c>
      <c r="C54" s="3" t="s">
        <v>98</v>
      </c>
      <c r="D54" s="3" t="s">
        <v>99</v>
      </c>
      <c r="E54" s="52">
        <v>88</v>
      </c>
      <c r="F54" s="52">
        <v>82</v>
      </c>
      <c r="G54" s="52">
        <v>90</v>
      </c>
      <c r="H54" s="52">
        <v>89</v>
      </c>
      <c r="I54" s="3"/>
      <c r="J54" s="3"/>
      <c r="K54" s="55">
        <f t="shared" ref="K54:K55" si="1">SUM(E54:J54)</f>
        <v>349</v>
      </c>
    </row>
    <row r="55" spans="1:11" ht="15.75" thickBot="1" x14ac:dyDescent="0.3">
      <c r="A55" s="8">
        <v>5</v>
      </c>
      <c r="B55" s="82" t="s">
        <v>38</v>
      </c>
      <c r="C55" s="3" t="s">
        <v>36</v>
      </c>
      <c r="D55" s="3" t="s">
        <v>37</v>
      </c>
      <c r="E55" s="52">
        <v>88</v>
      </c>
      <c r="F55" s="52">
        <v>87</v>
      </c>
      <c r="G55" s="52">
        <v>85</v>
      </c>
      <c r="H55" s="52">
        <v>87</v>
      </c>
      <c r="I55" s="3"/>
      <c r="J55" s="3"/>
      <c r="K55" s="55">
        <f t="shared" si="1"/>
        <v>347</v>
      </c>
    </row>
    <row r="56" spans="1:11" ht="21.75" customHeight="1" thickBot="1" x14ac:dyDescent="0.3">
      <c r="A56" s="168" t="s">
        <v>104</v>
      </c>
      <c r="B56" s="157"/>
      <c r="C56" s="157"/>
      <c r="D56" s="169"/>
      <c r="E56" s="156" t="s">
        <v>18</v>
      </c>
      <c r="F56" s="157"/>
      <c r="G56" s="157"/>
      <c r="H56" s="157"/>
      <c r="I56" s="157"/>
      <c r="J56" s="157"/>
      <c r="K56" s="158"/>
    </row>
    <row r="57" spans="1:11" x14ac:dyDescent="0.25">
      <c r="A57" s="6" t="s">
        <v>0</v>
      </c>
      <c r="B57" s="81" t="s">
        <v>1</v>
      </c>
      <c r="C57" s="2" t="s">
        <v>10</v>
      </c>
      <c r="D57" s="2" t="s">
        <v>2</v>
      </c>
      <c r="E57" s="2" t="s">
        <v>3</v>
      </c>
      <c r="F57" s="2" t="s">
        <v>4</v>
      </c>
      <c r="G57" s="2" t="s">
        <v>5</v>
      </c>
      <c r="H57" s="2" t="s">
        <v>6</v>
      </c>
      <c r="I57" s="2"/>
      <c r="J57" s="2"/>
      <c r="K57" s="7" t="s">
        <v>9</v>
      </c>
    </row>
    <row r="58" spans="1:11" x14ac:dyDescent="0.25">
      <c r="A58" s="8">
        <v>1</v>
      </c>
      <c r="B58" s="84" t="s">
        <v>33</v>
      </c>
      <c r="C58" s="4" t="s">
        <v>22</v>
      </c>
      <c r="D58" s="4" t="s">
        <v>23</v>
      </c>
      <c r="E58" s="52">
        <v>84</v>
      </c>
      <c r="F58" s="52">
        <v>92</v>
      </c>
      <c r="G58" s="52">
        <v>90</v>
      </c>
      <c r="H58" s="52">
        <v>93</v>
      </c>
      <c r="I58" s="52"/>
      <c r="J58" s="52"/>
      <c r="K58" s="55">
        <f t="shared" ref="K58:K67" si="2">SUM(E58:J58)</f>
        <v>359</v>
      </c>
    </row>
    <row r="59" spans="1:11" x14ac:dyDescent="0.25">
      <c r="A59" s="8">
        <v>2</v>
      </c>
      <c r="B59" s="82" t="s">
        <v>52</v>
      </c>
      <c r="C59" s="3" t="s">
        <v>51</v>
      </c>
      <c r="D59" s="3" t="s">
        <v>92</v>
      </c>
      <c r="E59" s="52">
        <f>84</f>
        <v>84</v>
      </c>
      <c r="F59" s="52">
        <v>88</v>
      </c>
      <c r="G59" s="52">
        <v>88</v>
      </c>
      <c r="H59" s="52">
        <v>87</v>
      </c>
      <c r="I59" s="52"/>
      <c r="J59" s="52"/>
      <c r="K59" s="55">
        <f t="shared" si="2"/>
        <v>347</v>
      </c>
    </row>
    <row r="60" spans="1:11" x14ac:dyDescent="0.25">
      <c r="A60" s="8">
        <v>3</v>
      </c>
      <c r="B60" s="82" t="s">
        <v>50</v>
      </c>
      <c r="C60" s="3" t="s">
        <v>51</v>
      </c>
      <c r="D60" s="3" t="s">
        <v>92</v>
      </c>
      <c r="E60" s="52">
        <v>89</v>
      </c>
      <c r="F60" s="52">
        <v>85</v>
      </c>
      <c r="G60" s="52">
        <v>84</v>
      </c>
      <c r="H60" s="52">
        <v>84</v>
      </c>
      <c r="I60" s="52"/>
      <c r="J60" s="52"/>
      <c r="K60" s="55">
        <f t="shared" si="2"/>
        <v>342</v>
      </c>
    </row>
    <row r="61" spans="1:11" x14ac:dyDescent="0.25">
      <c r="A61" s="8">
        <v>4</v>
      </c>
      <c r="B61" s="82" t="s">
        <v>81</v>
      </c>
      <c r="C61" s="3" t="s">
        <v>51</v>
      </c>
      <c r="D61" s="3" t="s">
        <v>79</v>
      </c>
      <c r="E61" s="52">
        <v>86</v>
      </c>
      <c r="F61" s="52">
        <v>88</v>
      </c>
      <c r="G61" s="52">
        <v>81</v>
      </c>
      <c r="H61" s="52">
        <v>82</v>
      </c>
      <c r="I61" s="52"/>
      <c r="J61" s="52"/>
      <c r="K61" s="55">
        <f t="shared" si="2"/>
        <v>337</v>
      </c>
    </row>
    <row r="62" spans="1:11" x14ac:dyDescent="0.25">
      <c r="A62" s="8">
        <v>5</v>
      </c>
      <c r="B62" s="82" t="s">
        <v>56</v>
      </c>
      <c r="C62" s="3" t="s">
        <v>57</v>
      </c>
      <c r="D62" s="3" t="s">
        <v>58</v>
      </c>
      <c r="E62" s="52">
        <v>82</v>
      </c>
      <c r="F62" s="52">
        <v>85</v>
      </c>
      <c r="G62" s="52">
        <v>82</v>
      </c>
      <c r="H62" s="52">
        <v>87</v>
      </c>
      <c r="I62" s="52"/>
      <c r="J62" s="52"/>
      <c r="K62" s="55">
        <f t="shared" si="2"/>
        <v>336</v>
      </c>
    </row>
    <row r="63" spans="1:11" x14ac:dyDescent="0.25">
      <c r="A63" s="8">
        <v>6</v>
      </c>
      <c r="B63" s="82" t="s">
        <v>53</v>
      </c>
      <c r="C63" s="3" t="s">
        <v>51</v>
      </c>
      <c r="D63" s="3" t="s">
        <v>92</v>
      </c>
      <c r="E63" s="52">
        <v>84</v>
      </c>
      <c r="F63" s="52">
        <v>86</v>
      </c>
      <c r="G63" s="52">
        <v>86</v>
      </c>
      <c r="H63" s="52">
        <v>79</v>
      </c>
      <c r="I63" s="52"/>
      <c r="J63" s="52"/>
      <c r="K63" s="55">
        <f t="shared" si="2"/>
        <v>335</v>
      </c>
    </row>
    <row r="64" spans="1:11" x14ac:dyDescent="0.25">
      <c r="A64" s="8">
        <v>7</v>
      </c>
      <c r="B64" s="85" t="s">
        <v>39</v>
      </c>
      <c r="C64" s="20" t="s">
        <v>36</v>
      </c>
      <c r="D64" s="20" t="s">
        <v>93</v>
      </c>
      <c r="E64" s="52">
        <v>82</v>
      </c>
      <c r="F64" s="52">
        <v>81</v>
      </c>
      <c r="G64" s="52">
        <v>90</v>
      </c>
      <c r="H64" s="52">
        <v>77</v>
      </c>
      <c r="I64" s="52"/>
      <c r="J64" s="52"/>
      <c r="K64" s="55">
        <f t="shared" si="2"/>
        <v>330</v>
      </c>
    </row>
    <row r="65" spans="1:11" x14ac:dyDescent="0.25">
      <c r="A65" s="8">
        <v>8</v>
      </c>
      <c r="B65" s="82" t="s">
        <v>83</v>
      </c>
      <c r="C65" s="3" t="s">
        <v>51</v>
      </c>
      <c r="D65" s="3" t="s">
        <v>79</v>
      </c>
      <c r="E65" s="52">
        <v>77</v>
      </c>
      <c r="F65" s="52">
        <v>86</v>
      </c>
      <c r="G65" s="52">
        <v>81</v>
      </c>
      <c r="H65" s="52">
        <v>80</v>
      </c>
      <c r="I65" s="52"/>
      <c r="J65" s="52"/>
      <c r="K65" s="55">
        <f t="shared" si="2"/>
        <v>324</v>
      </c>
    </row>
    <row r="66" spans="1:11" x14ac:dyDescent="0.25">
      <c r="A66" s="8">
        <v>9</v>
      </c>
      <c r="B66" s="82" t="s">
        <v>84</v>
      </c>
      <c r="C66" s="3" t="s">
        <v>51</v>
      </c>
      <c r="D66" s="3" t="s">
        <v>79</v>
      </c>
      <c r="E66" s="52">
        <v>82</v>
      </c>
      <c r="F66" s="52">
        <v>83</v>
      </c>
      <c r="G66" s="52">
        <v>70</v>
      </c>
      <c r="H66" s="52">
        <v>69</v>
      </c>
      <c r="I66" s="52"/>
      <c r="J66" s="52"/>
      <c r="K66" s="55">
        <f t="shared" si="2"/>
        <v>304</v>
      </c>
    </row>
    <row r="67" spans="1:11" ht="15.75" thickBot="1" x14ac:dyDescent="0.3">
      <c r="A67" s="8">
        <v>10</v>
      </c>
      <c r="B67" s="82" t="s">
        <v>59</v>
      </c>
      <c r="C67" s="3" t="s">
        <v>57</v>
      </c>
      <c r="D67" s="3" t="s">
        <v>58</v>
      </c>
      <c r="E67" s="52">
        <v>73</v>
      </c>
      <c r="F67" s="52">
        <v>69</v>
      </c>
      <c r="G67" s="52">
        <v>77</v>
      </c>
      <c r="H67" s="52">
        <v>76</v>
      </c>
      <c r="I67" s="52"/>
      <c r="J67" s="52"/>
      <c r="K67" s="55">
        <f t="shared" si="2"/>
        <v>295</v>
      </c>
    </row>
    <row r="68" spans="1:11" ht="24.75" customHeight="1" thickBot="1" x14ac:dyDescent="0.3">
      <c r="A68" s="162" t="s">
        <v>107</v>
      </c>
      <c r="B68" s="163"/>
      <c r="C68" s="163"/>
      <c r="D68" s="164"/>
      <c r="E68" s="170" t="s">
        <v>12</v>
      </c>
      <c r="F68" s="170"/>
      <c r="G68" s="170"/>
      <c r="H68" s="170"/>
      <c r="I68" s="170"/>
      <c r="J68" s="170"/>
      <c r="K68" s="171"/>
    </row>
    <row r="69" spans="1:11" x14ac:dyDescent="0.25">
      <c r="A69" s="6" t="s">
        <v>0</v>
      </c>
      <c r="B69" s="81" t="s">
        <v>1</v>
      </c>
      <c r="C69" s="2" t="s">
        <v>10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  <c r="I69" s="2" t="s">
        <v>7</v>
      </c>
      <c r="J69" s="2" t="s">
        <v>8</v>
      </c>
      <c r="K69" s="7" t="s">
        <v>9</v>
      </c>
    </row>
    <row r="70" spans="1:11" x14ac:dyDescent="0.25">
      <c r="A70" s="8">
        <v>1</v>
      </c>
      <c r="B70" s="82" t="s">
        <v>65</v>
      </c>
      <c r="C70" s="3" t="s">
        <v>66</v>
      </c>
      <c r="D70" s="3" t="s">
        <v>67</v>
      </c>
      <c r="E70" s="52">
        <f>103</f>
        <v>103</v>
      </c>
      <c r="F70" s="52">
        <v>102.7</v>
      </c>
      <c r="G70" s="52">
        <v>102.1</v>
      </c>
      <c r="H70" s="52">
        <v>101.6</v>
      </c>
      <c r="I70" s="52">
        <v>103.1</v>
      </c>
      <c r="J70" s="52">
        <v>104.9</v>
      </c>
      <c r="K70" s="55">
        <f>SUM(E70:J70)</f>
        <v>617.4</v>
      </c>
    </row>
    <row r="71" spans="1:11" x14ac:dyDescent="0.25">
      <c r="A71" s="8">
        <v>2</v>
      </c>
      <c r="B71" s="82" t="s">
        <v>85</v>
      </c>
      <c r="C71" s="3" t="s">
        <v>51</v>
      </c>
      <c r="D71" s="3" t="s">
        <v>79</v>
      </c>
      <c r="E71" s="52">
        <f>102.6</f>
        <v>102.6</v>
      </c>
      <c r="F71" s="52">
        <v>100.3</v>
      </c>
      <c r="G71" s="52">
        <v>102.8</v>
      </c>
      <c r="H71" s="52">
        <v>102.4</v>
      </c>
      <c r="I71" s="52">
        <v>103.1</v>
      </c>
      <c r="J71" s="52">
        <v>101.7</v>
      </c>
      <c r="K71" s="55">
        <f>SUM(E71:J71)</f>
        <v>612.90000000000009</v>
      </c>
    </row>
    <row r="72" spans="1:11" x14ac:dyDescent="0.25">
      <c r="A72" s="8">
        <v>3</v>
      </c>
      <c r="B72" s="82" t="s">
        <v>40</v>
      </c>
      <c r="C72" s="3" t="s">
        <v>36</v>
      </c>
      <c r="D72" s="3" t="s">
        <v>37</v>
      </c>
      <c r="E72" s="52">
        <v>99.3</v>
      </c>
      <c r="F72" s="52">
        <v>98.6</v>
      </c>
      <c r="G72" s="52">
        <v>99.8</v>
      </c>
      <c r="H72" s="52">
        <v>98.2</v>
      </c>
      <c r="I72" s="52">
        <v>100.5</v>
      </c>
      <c r="J72" s="52">
        <v>98.8</v>
      </c>
      <c r="K72" s="55">
        <f>SUM(E72:J72)</f>
        <v>595.19999999999993</v>
      </c>
    </row>
    <row r="73" spans="1:11" x14ac:dyDescent="0.25">
      <c r="A73" s="8">
        <v>4</v>
      </c>
      <c r="B73" s="82" t="s">
        <v>95</v>
      </c>
      <c r="C73" s="3" t="s">
        <v>51</v>
      </c>
      <c r="D73" s="3" t="s">
        <v>55</v>
      </c>
      <c r="E73" s="52">
        <v>99.6</v>
      </c>
      <c r="F73" s="52">
        <v>97.8</v>
      </c>
      <c r="G73" s="52">
        <v>99.9</v>
      </c>
      <c r="H73" s="52">
        <v>99.4</v>
      </c>
      <c r="I73" s="52">
        <v>99.2</v>
      </c>
      <c r="J73" s="52">
        <v>96.3</v>
      </c>
      <c r="K73" s="55">
        <f>SUM(E73:J73)</f>
        <v>592.19999999999993</v>
      </c>
    </row>
    <row r="74" spans="1:11" ht="15.75" thickBot="1" x14ac:dyDescent="0.3">
      <c r="A74" s="8">
        <v>5</v>
      </c>
      <c r="B74" s="82" t="s">
        <v>71</v>
      </c>
      <c r="C74" s="3" t="s">
        <v>22</v>
      </c>
      <c r="D74" s="3" t="s">
        <v>23</v>
      </c>
      <c r="E74" s="52">
        <f>86.9</f>
        <v>86.9</v>
      </c>
      <c r="F74" s="52">
        <v>79.8</v>
      </c>
      <c r="G74" s="52">
        <v>86.7</v>
      </c>
      <c r="H74" s="52">
        <v>92.1</v>
      </c>
      <c r="I74" s="52">
        <v>87.5</v>
      </c>
      <c r="J74" s="52">
        <v>93.3</v>
      </c>
      <c r="K74" s="55">
        <f>SUM(E74:J74)</f>
        <v>526.29999999999995</v>
      </c>
    </row>
    <row r="75" spans="1:11" ht="21.75" customHeight="1" thickBot="1" x14ac:dyDescent="0.3">
      <c r="A75" s="162" t="s">
        <v>105</v>
      </c>
      <c r="B75" s="163"/>
      <c r="C75" s="163"/>
      <c r="D75" s="164"/>
      <c r="E75" s="172" t="s">
        <v>13</v>
      </c>
      <c r="F75" s="172"/>
      <c r="G75" s="172"/>
      <c r="H75" s="172"/>
      <c r="I75" s="172"/>
      <c r="J75" s="172"/>
      <c r="K75" s="173"/>
    </row>
    <row r="76" spans="1:11" x14ac:dyDescent="0.25">
      <c r="A76" s="6" t="s">
        <v>0</v>
      </c>
      <c r="B76" s="81" t="s">
        <v>1</v>
      </c>
      <c r="C76" s="2" t="s">
        <v>10</v>
      </c>
      <c r="D76" s="2" t="s">
        <v>2</v>
      </c>
      <c r="E76" s="2" t="s">
        <v>3</v>
      </c>
      <c r="F76" s="2" t="s">
        <v>4</v>
      </c>
      <c r="G76" s="2" t="s">
        <v>5</v>
      </c>
      <c r="H76" s="2" t="s">
        <v>6</v>
      </c>
      <c r="I76" s="2" t="s">
        <v>7</v>
      </c>
      <c r="J76" s="2" t="s">
        <v>8</v>
      </c>
      <c r="K76" s="7" t="s">
        <v>9</v>
      </c>
    </row>
    <row r="77" spans="1:11" x14ac:dyDescent="0.25">
      <c r="A77" s="8">
        <v>1</v>
      </c>
      <c r="B77" s="82" t="s">
        <v>42</v>
      </c>
      <c r="C77" s="3" t="s">
        <v>36</v>
      </c>
      <c r="D77" s="3" t="s">
        <v>37</v>
      </c>
      <c r="E77" s="52">
        <v>99.8</v>
      </c>
      <c r="F77" s="52">
        <v>101.2</v>
      </c>
      <c r="G77" s="52">
        <v>100.6</v>
      </c>
      <c r="H77" s="52">
        <v>100.9</v>
      </c>
      <c r="I77" s="52">
        <v>102.1</v>
      </c>
      <c r="J77" s="52">
        <v>101.3</v>
      </c>
      <c r="K77" s="55">
        <f>SUM(E77:J77)</f>
        <v>605.9</v>
      </c>
    </row>
    <row r="78" spans="1:11" x14ac:dyDescent="0.25">
      <c r="A78" s="8">
        <v>2</v>
      </c>
      <c r="B78" s="82" t="s">
        <v>96</v>
      </c>
      <c r="C78" s="3" t="s">
        <v>51</v>
      </c>
      <c r="D78" s="3" t="s">
        <v>55</v>
      </c>
      <c r="E78" s="52">
        <f>99.6</f>
        <v>99.6</v>
      </c>
      <c r="F78" s="52">
        <v>101.1</v>
      </c>
      <c r="G78" s="52">
        <v>99.5</v>
      </c>
      <c r="H78" s="52">
        <v>101.3</v>
      </c>
      <c r="I78" s="52">
        <v>100.6</v>
      </c>
      <c r="J78" s="52">
        <v>101.3</v>
      </c>
      <c r="K78" s="55">
        <f>SUM(E78:J78)</f>
        <v>603.4</v>
      </c>
    </row>
    <row r="79" spans="1:11" x14ac:dyDescent="0.25">
      <c r="A79" s="8">
        <v>3</v>
      </c>
      <c r="B79" s="85" t="s">
        <v>47</v>
      </c>
      <c r="C79" s="20" t="s">
        <v>36</v>
      </c>
      <c r="D79" s="20" t="s">
        <v>37</v>
      </c>
      <c r="E79" s="52">
        <v>84.2</v>
      </c>
      <c r="F79" s="52">
        <v>95.1</v>
      </c>
      <c r="G79" s="52">
        <v>96.2</v>
      </c>
      <c r="H79" s="52">
        <v>96.5</v>
      </c>
      <c r="I79" s="52">
        <v>90.9</v>
      </c>
      <c r="J79" s="52">
        <v>95.8</v>
      </c>
      <c r="K79" s="55">
        <f>SUM(E79:J79)</f>
        <v>558.69999999999993</v>
      </c>
    </row>
    <row r="80" spans="1:11" ht="15.75" thickBot="1" x14ac:dyDescent="0.3">
      <c r="A80" s="8"/>
      <c r="B80" s="82"/>
      <c r="C80" s="3"/>
      <c r="D80" s="3"/>
      <c r="E80" s="3"/>
      <c r="F80" s="3"/>
      <c r="G80" s="3"/>
      <c r="H80" s="3"/>
      <c r="I80" s="3"/>
      <c r="J80" s="3"/>
      <c r="K80" s="9"/>
    </row>
    <row r="81" spans="1:11" ht="24" customHeight="1" thickBot="1" x14ac:dyDescent="0.3">
      <c r="A81" s="165" t="s">
        <v>105</v>
      </c>
      <c r="B81" s="166"/>
      <c r="C81" s="166"/>
      <c r="D81" s="167"/>
      <c r="E81" s="174" t="s">
        <v>108</v>
      </c>
      <c r="F81" s="174"/>
      <c r="G81" s="174"/>
      <c r="H81" s="174"/>
      <c r="I81" s="174"/>
      <c r="J81" s="174"/>
      <c r="K81" s="175"/>
    </row>
    <row r="82" spans="1:11" x14ac:dyDescent="0.25">
      <c r="A82" s="6" t="s">
        <v>0</v>
      </c>
      <c r="B82" s="81" t="s">
        <v>1</v>
      </c>
      <c r="C82" s="2" t="s">
        <v>10</v>
      </c>
      <c r="D82" s="2" t="s">
        <v>2</v>
      </c>
      <c r="E82" s="2" t="s">
        <v>3</v>
      </c>
      <c r="F82" s="2" t="s">
        <v>4</v>
      </c>
      <c r="G82" s="2" t="s">
        <v>5</v>
      </c>
      <c r="H82" s="2" t="s">
        <v>6</v>
      </c>
      <c r="I82" s="2"/>
      <c r="J82" s="2"/>
      <c r="K82" s="7" t="s">
        <v>9</v>
      </c>
    </row>
    <row r="83" spans="1:11" x14ac:dyDescent="0.25">
      <c r="A83" s="8">
        <v>2</v>
      </c>
      <c r="B83" s="82" t="s">
        <v>97</v>
      </c>
      <c r="C83" s="3" t="s">
        <v>98</v>
      </c>
      <c r="D83" s="3" t="s">
        <v>99</v>
      </c>
      <c r="E83" s="52">
        <v>92.5</v>
      </c>
      <c r="F83" s="52">
        <v>91.5</v>
      </c>
      <c r="G83" s="52">
        <v>97.3</v>
      </c>
      <c r="H83" s="52">
        <v>93.8</v>
      </c>
      <c r="I83" s="52"/>
      <c r="J83" s="52"/>
      <c r="K83" s="55">
        <f>SUM(E83:J83)</f>
        <v>375.1</v>
      </c>
    </row>
    <row r="84" spans="1:11" x14ac:dyDescent="0.25">
      <c r="A84" s="8">
        <v>1</v>
      </c>
      <c r="B84" s="82" t="s">
        <v>45</v>
      </c>
      <c r="C84" s="3" t="s">
        <v>36</v>
      </c>
      <c r="D84" s="3" t="s">
        <v>37</v>
      </c>
      <c r="E84" s="52">
        <v>80.099999999999994</v>
      </c>
      <c r="F84" s="52">
        <v>82.8</v>
      </c>
      <c r="G84" s="52">
        <v>87.8</v>
      </c>
      <c r="H84" s="52">
        <v>91.7</v>
      </c>
      <c r="I84" s="52"/>
      <c r="J84" s="52"/>
      <c r="K84" s="55">
        <f>SUM(E84:J84)</f>
        <v>342.4</v>
      </c>
    </row>
    <row r="85" spans="1:11" x14ac:dyDescent="0.25">
      <c r="A85" s="8">
        <v>3</v>
      </c>
      <c r="B85" s="82" t="s">
        <v>100</v>
      </c>
      <c r="C85" s="3" t="s">
        <v>36</v>
      </c>
      <c r="D85" s="3" t="s">
        <v>101</v>
      </c>
      <c r="E85" s="52">
        <v>77.2</v>
      </c>
      <c r="F85" s="52">
        <v>81.5</v>
      </c>
      <c r="G85" s="52">
        <v>82.7</v>
      </c>
      <c r="H85" s="52">
        <v>90.1</v>
      </c>
      <c r="I85" s="52"/>
      <c r="J85" s="52"/>
      <c r="K85" s="55">
        <f>SUM(E85:J85)</f>
        <v>331.5</v>
      </c>
    </row>
    <row r="86" spans="1:11" ht="15.75" thickBot="1" x14ac:dyDescent="0.3">
      <c r="A86" s="8"/>
      <c r="B86" s="82"/>
      <c r="C86" s="3"/>
      <c r="D86" s="3"/>
      <c r="E86" s="3"/>
      <c r="F86" s="3"/>
      <c r="G86" s="3"/>
      <c r="H86" s="3"/>
      <c r="I86" s="3"/>
      <c r="J86" s="3"/>
      <c r="K86" s="9"/>
    </row>
    <row r="87" spans="1:11" ht="25.5" customHeight="1" thickBot="1" x14ac:dyDescent="0.3">
      <c r="A87" s="162" t="s">
        <v>105</v>
      </c>
      <c r="B87" s="163"/>
      <c r="C87" s="163"/>
      <c r="D87" s="164"/>
      <c r="E87" s="172" t="s">
        <v>109</v>
      </c>
      <c r="F87" s="172"/>
      <c r="G87" s="172"/>
      <c r="H87" s="172"/>
      <c r="I87" s="172"/>
      <c r="J87" s="172"/>
      <c r="K87" s="173"/>
    </row>
    <row r="88" spans="1:11" x14ac:dyDescent="0.25">
      <c r="A88" s="14" t="s">
        <v>0</v>
      </c>
      <c r="B88" s="86" t="s">
        <v>1</v>
      </c>
      <c r="C88" s="15" t="s">
        <v>10</v>
      </c>
      <c r="D88" s="15" t="s">
        <v>2</v>
      </c>
      <c r="E88" s="15" t="s">
        <v>3</v>
      </c>
      <c r="F88" s="15" t="s">
        <v>4</v>
      </c>
      <c r="G88" s="15" t="s">
        <v>5</v>
      </c>
      <c r="H88" s="15" t="s">
        <v>6</v>
      </c>
      <c r="I88" s="15"/>
      <c r="J88" s="15"/>
      <c r="K88" s="16" t="s">
        <v>9</v>
      </c>
    </row>
    <row r="89" spans="1:11" x14ac:dyDescent="0.25">
      <c r="A89" s="8">
        <v>1</v>
      </c>
      <c r="B89" s="82" t="s">
        <v>70</v>
      </c>
      <c r="C89" s="3" t="s">
        <v>22</v>
      </c>
      <c r="D89" s="3" t="s">
        <v>23</v>
      </c>
      <c r="E89" s="52">
        <v>94.2</v>
      </c>
      <c r="F89" s="52">
        <v>97.2</v>
      </c>
      <c r="G89" s="52">
        <v>97.9</v>
      </c>
      <c r="H89" s="52">
        <v>97.8</v>
      </c>
      <c r="I89" s="52"/>
      <c r="J89" s="52"/>
      <c r="K89" s="55">
        <f t="shared" ref="K89:K91" si="3">SUM(E89:J89)</f>
        <v>387.1</v>
      </c>
    </row>
    <row r="90" spans="1:11" x14ac:dyDescent="0.25">
      <c r="A90" s="8">
        <v>2</v>
      </c>
      <c r="B90" s="82" t="s">
        <v>69</v>
      </c>
      <c r="C90" s="3" t="s">
        <v>22</v>
      </c>
      <c r="D90" s="3" t="s">
        <v>23</v>
      </c>
      <c r="E90" s="52">
        <v>89.5</v>
      </c>
      <c r="F90" s="52">
        <v>95.9</v>
      </c>
      <c r="G90" s="52">
        <v>92.9</v>
      </c>
      <c r="H90" s="52">
        <v>96.5</v>
      </c>
      <c r="I90" s="52"/>
      <c r="J90" s="52"/>
      <c r="K90" s="55">
        <f t="shared" si="3"/>
        <v>374.8</v>
      </c>
    </row>
    <row r="91" spans="1:11" x14ac:dyDescent="0.25">
      <c r="A91" s="8">
        <v>3</v>
      </c>
      <c r="B91" s="82" t="s">
        <v>49</v>
      </c>
      <c r="C91" s="3" t="s">
        <v>36</v>
      </c>
      <c r="D91" s="3" t="s">
        <v>37</v>
      </c>
      <c r="E91" s="52">
        <v>86.3</v>
      </c>
      <c r="F91" s="52">
        <v>89.6</v>
      </c>
      <c r="G91" s="52">
        <v>97.3</v>
      </c>
      <c r="H91" s="52">
        <v>88.7</v>
      </c>
      <c r="I91" s="52"/>
      <c r="J91" s="52"/>
      <c r="K91" s="55">
        <f t="shared" si="3"/>
        <v>361.9</v>
      </c>
    </row>
    <row r="92" spans="1:11" ht="15.75" thickBot="1" x14ac:dyDescent="0.3">
      <c r="A92" s="8"/>
      <c r="B92" s="82"/>
      <c r="C92" s="3"/>
      <c r="D92" s="3"/>
      <c r="E92" s="3"/>
      <c r="F92" s="3"/>
      <c r="G92" s="3"/>
      <c r="H92" s="3"/>
      <c r="I92" s="3"/>
      <c r="J92" s="3"/>
      <c r="K92" s="9"/>
    </row>
    <row r="93" spans="1:11" ht="23.25" customHeight="1" thickBot="1" x14ac:dyDescent="0.3">
      <c r="A93" s="162" t="s">
        <v>105</v>
      </c>
      <c r="B93" s="163"/>
      <c r="C93" s="163"/>
      <c r="D93" s="164"/>
      <c r="E93" s="172" t="s">
        <v>41</v>
      </c>
      <c r="F93" s="172"/>
      <c r="G93" s="172"/>
      <c r="H93" s="172"/>
      <c r="I93" s="172"/>
      <c r="J93" s="172"/>
      <c r="K93" s="173"/>
    </row>
    <row r="94" spans="1:11" ht="15.75" thickBot="1" x14ac:dyDescent="0.3">
      <c r="A94" s="5" t="s">
        <v>0</v>
      </c>
      <c r="B94" s="87" t="s">
        <v>1</v>
      </c>
      <c r="C94" s="40" t="s">
        <v>10</v>
      </c>
      <c r="D94" s="40" t="s">
        <v>2</v>
      </c>
      <c r="E94" s="40" t="s">
        <v>3</v>
      </c>
      <c r="F94" s="40" t="s">
        <v>4</v>
      </c>
      <c r="G94" s="40" t="s">
        <v>5</v>
      </c>
      <c r="H94" s="40" t="s">
        <v>6</v>
      </c>
      <c r="I94" s="40" t="s">
        <v>7</v>
      </c>
      <c r="J94" s="40" t="s">
        <v>8</v>
      </c>
      <c r="K94" s="41" t="s">
        <v>9</v>
      </c>
    </row>
    <row r="95" spans="1:11" x14ac:dyDescent="0.25">
      <c r="A95" s="29">
        <v>1</v>
      </c>
      <c r="B95" s="88" t="s">
        <v>40</v>
      </c>
      <c r="C95" s="30" t="s">
        <v>36</v>
      </c>
      <c r="D95" s="30" t="s">
        <v>37</v>
      </c>
      <c r="E95" s="47">
        <v>95</v>
      </c>
      <c r="F95" s="47">
        <v>94</v>
      </c>
      <c r="G95" s="47">
        <v>98</v>
      </c>
      <c r="H95" s="47">
        <v>95</v>
      </c>
      <c r="I95" s="47">
        <v>88</v>
      </c>
      <c r="J95" s="47">
        <v>91</v>
      </c>
      <c r="K95" s="48">
        <f>SUM(E95:J95)</f>
        <v>561</v>
      </c>
    </row>
    <row r="96" spans="1:11" x14ac:dyDescent="0.25">
      <c r="A96" s="8">
        <v>2</v>
      </c>
      <c r="B96" s="82"/>
      <c r="C96" s="3"/>
      <c r="D96" s="3"/>
      <c r="E96" s="3"/>
      <c r="F96" s="3"/>
      <c r="G96" s="3"/>
      <c r="H96" s="3"/>
      <c r="I96" s="3"/>
      <c r="J96" s="3"/>
      <c r="K96" s="9"/>
    </row>
    <row r="97" spans="1:11" ht="15.75" thickBot="1" x14ac:dyDescent="0.3">
      <c r="A97" s="8">
        <v>3</v>
      </c>
      <c r="B97" s="82"/>
      <c r="C97" s="3"/>
      <c r="D97" s="3"/>
      <c r="E97" s="3"/>
      <c r="F97" s="3"/>
      <c r="G97" s="3"/>
      <c r="H97" s="3"/>
      <c r="I97" s="3"/>
      <c r="J97" s="3"/>
      <c r="K97" s="9"/>
    </row>
    <row r="98" spans="1:11" ht="24.95" customHeight="1" thickBot="1" x14ac:dyDescent="0.3">
      <c r="A98" s="162" t="s">
        <v>105</v>
      </c>
      <c r="B98" s="163"/>
      <c r="C98" s="163"/>
      <c r="D98" s="164"/>
      <c r="E98" s="172" t="s">
        <v>44</v>
      </c>
      <c r="F98" s="172"/>
      <c r="G98" s="172"/>
      <c r="H98" s="172"/>
      <c r="I98" s="172"/>
      <c r="J98" s="172"/>
      <c r="K98" s="173"/>
    </row>
    <row r="99" spans="1:11" ht="15.75" thickBot="1" x14ac:dyDescent="0.3">
      <c r="A99" s="5" t="s">
        <v>0</v>
      </c>
      <c r="B99" s="87" t="s">
        <v>1</v>
      </c>
      <c r="C99" s="40" t="s">
        <v>10</v>
      </c>
      <c r="D99" s="40" t="s">
        <v>2</v>
      </c>
      <c r="E99" s="40" t="s">
        <v>3</v>
      </c>
      <c r="F99" s="40" t="s">
        <v>4</v>
      </c>
      <c r="G99" s="40" t="s">
        <v>5</v>
      </c>
      <c r="H99" s="40" t="s">
        <v>6</v>
      </c>
      <c r="I99" s="40" t="s">
        <v>7</v>
      </c>
      <c r="J99" s="40" t="s">
        <v>8</v>
      </c>
      <c r="K99" s="41" t="s">
        <v>9</v>
      </c>
    </row>
    <row r="100" spans="1:11" x14ac:dyDescent="0.25">
      <c r="A100" s="29">
        <v>1</v>
      </c>
      <c r="B100" s="88" t="s">
        <v>42</v>
      </c>
      <c r="C100" s="30" t="s">
        <v>36</v>
      </c>
      <c r="D100" s="30" t="s">
        <v>37</v>
      </c>
      <c r="E100" s="47">
        <v>75</v>
      </c>
      <c r="F100" s="47">
        <v>83</v>
      </c>
      <c r="G100" s="47">
        <v>95</v>
      </c>
      <c r="H100" s="47">
        <v>96</v>
      </c>
      <c r="I100" s="47">
        <v>85</v>
      </c>
      <c r="J100" s="47">
        <v>89</v>
      </c>
      <c r="K100" s="48">
        <f t="shared" ref="K100" si="4">SUM(E100:J100)</f>
        <v>523</v>
      </c>
    </row>
    <row r="101" spans="1:11" x14ac:dyDescent="0.25">
      <c r="A101" s="8">
        <v>2</v>
      </c>
      <c r="B101" s="82"/>
      <c r="C101" s="3"/>
      <c r="D101" s="3"/>
      <c r="E101" s="3"/>
      <c r="F101" s="3"/>
      <c r="G101" s="3"/>
      <c r="H101" s="3"/>
      <c r="I101" s="3"/>
      <c r="J101" s="3"/>
      <c r="K101" s="9"/>
    </row>
    <row r="102" spans="1:11" ht="15.75" thickBot="1" x14ac:dyDescent="0.3">
      <c r="A102" s="8">
        <v>3</v>
      </c>
      <c r="B102" s="82"/>
      <c r="C102" s="3"/>
      <c r="D102" s="3"/>
      <c r="E102" s="3"/>
      <c r="F102" s="3"/>
      <c r="G102" s="3"/>
      <c r="H102" s="3"/>
      <c r="I102" s="3"/>
      <c r="J102" s="3"/>
      <c r="K102" s="9"/>
    </row>
    <row r="103" spans="1:11" ht="24.95" customHeight="1" thickBot="1" x14ac:dyDescent="0.3">
      <c r="A103" s="162" t="s">
        <v>105</v>
      </c>
      <c r="B103" s="163"/>
      <c r="C103" s="163"/>
      <c r="D103" s="164"/>
      <c r="E103" s="176" t="s">
        <v>14</v>
      </c>
      <c r="F103" s="176"/>
      <c r="G103" s="176"/>
      <c r="H103" s="176"/>
      <c r="I103" s="176"/>
      <c r="J103" s="176"/>
      <c r="K103" s="177"/>
    </row>
    <row r="104" spans="1:11" ht="15.75" thickBot="1" x14ac:dyDescent="0.3">
      <c r="A104" s="5" t="s">
        <v>0</v>
      </c>
      <c r="B104" s="87" t="s">
        <v>1</v>
      </c>
      <c r="C104" s="40" t="s">
        <v>10</v>
      </c>
      <c r="D104" s="40" t="s">
        <v>2</v>
      </c>
      <c r="E104" s="40" t="s">
        <v>3</v>
      </c>
      <c r="F104" s="40" t="s">
        <v>4</v>
      </c>
      <c r="G104" s="40" t="s">
        <v>5</v>
      </c>
      <c r="H104" s="40" t="s">
        <v>6</v>
      </c>
      <c r="I104" s="40" t="s">
        <v>7</v>
      </c>
      <c r="J104" s="40" t="s">
        <v>8</v>
      </c>
      <c r="K104" s="41" t="s">
        <v>9</v>
      </c>
    </row>
    <row r="105" spans="1:11" x14ac:dyDescent="0.25">
      <c r="A105" s="29">
        <v>1</v>
      </c>
      <c r="B105" s="88" t="s">
        <v>45</v>
      </c>
      <c r="C105" s="30" t="s">
        <v>36</v>
      </c>
      <c r="D105" s="30" t="s">
        <v>37</v>
      </c>
      <c r="E105" s="47">
        <v>91</v>
      </c>
      <c r="F105" s="47">
        <v>93</v>
      </c>
      <c r="G105" s="47">
        <v>91</v>
      </c>
      <c r="H105" s="47">
        <v>68</v>
      </c>
      <c r="I105" s="47">
        <v>67</v>
      </c>
      <c r="J105" s="47">
        <v>78</v>
      </c>
      <c r="K105" s="48">
        <f t="shared" ref="K105" si="5">SUM(E105:J105)</f>
        <v>488</v>
      </c>
    </row>
    <row r="106" spans="1:11" x14ac:dyDescent="0.25">
      <c r="A106" s="8">
        <v>2</v>
      </c>
      <c r="B106" s="82"/>
      <c r="C106" s="3"/>
      <c r="D106" s="3"/>
      <c r="E106" s="3"/>
      <c r="F106" s="3"/>
      <c r="G106" s="3"/>
      <c r="H106" s="3"/>
      <c r="I106" s="3"/>
      <c r="J106" s="3"/>
      <c r="K106" s="9"/>
    </row>
    <row r="107" spans="1:11" ht="15.75" thickBot="1" x14ac:dyDescent="0.3">
      <c r="A107" s="8">
        <v>3</v>
      </c>
      <c r="B107" s="82"/>
      <c r="C107" s="3"/>
      <c r="D107" s="3"/>
      <c r="E107" s="3"/>
      <c r="F107" s="3"/>
      <c r="G107" s="3"/>
      <c r="H107" s="3"/>
      <c r="I107" s="3"/>
      <c r="J107" s="3"/>
      <c r="K107" s="9"/>
    </row>
    <row r="108" spans="1:11" ht="24.95" customHeight="1" thickBot="1" x14ac:dyDescent="0.3">
      <c r="A108" s="162" t="s">
        <v>105</v>
      </c>
      <c r="B108" s="163"/>
      <c r="C108" s="163"/>
      <c r="D108" s="164"/>
      <c r="E108" s="176" t="s">
        <v>46</v>
      </c>
      <c r="F108" s="176"/>
      <c r="G108" s="176"/>
      <c r="H108" s="176"/>
      <c r="I108" s="176"/>
      <c r="J108" s="176"/>
      <c r="K108" s="177"/>
    </row>
    <row r="109" spans="1:11" ht="15.75" thickBot="1" x14ac:dyDescent="0.3">
      <c r="A109" s="5"/>
      <c r="B109" s="87" t="s">
        <v>1</v>
      </c>
      <c r="C109" s="40" t="s">
        <v>10</v>
      </c>
      <c r="D109" s="40" t="s">
        <v>2</v>
      </c>
      <c r="E109" s="40" t="s">
        <v>3</v>
      </c>
      <c r="F109" s="40" t="s">
        <v>4</v>
      </c>
      <c r="G109" s="40" t="s">
        <v>5</v>
      </c>
      <c r="H109" s="40" t="s">
        <v>6</v>
      </c>
      <c r="I109" s="40" t="s">
        <v>7</v>
      </c>
      <c r="J109" s="40" t="s">
        <v>8</v>
      </c>
      <c r="K109" s="41" t="s">
        <v>9</v>
      </c>
    </row>
    <row r="110" spans="1:11" x14ac:dyDescent="0.25">
      <c r="A110" s="29">
        <v>1</v>
      </c>
      <c r="B110" s="88" t="s">
        <v>49</v>
      </c>
      <c r="C110" s="30" t="s">
        <v>36</v>
      </c>
      <c r="D110" s="30" t="s">
        <v>37</v>
      </c>
      <c r="E110" s="47">
        <v>93</v>
      </c>
      <c r="F110" s="47">
        <v>91</v>
      </c>
      <c r="G110" s="47">
        <v>93</v>
      </c>
      <c r="H110" s="47">
        <v>68</v>
      </c>
      <c r="I110" s="47">
        <v>80</v>
      </c>
      <c r="J110" s="47">
        <v>74</v>
      </c>
      <c r="K110" s="48">
        <f t="shared" ref="K110" si="6">SUM(E110:J110)</f>
        <v>499</v>
      </c>
    </row>
    <row r="111" spans="1:11" x14ac:dyDescent="0.25">
      <c r="A111" s="8">
        <v>2</v>
      </c>
      <c r="B111" s="82"/>
      <c r="C111" s="3"/>
      <c r="D111" s="3"/>
      <c r="E111" s="3"/>
      <c r="F111" s="3"/>
      <c r="G111" s="3"/>
      <c r="H111" s="3"/>
      <c r="I111" s="3"/>
      <c r="J111" s="3"/>
      <c r="K111" s="9"/>
    </row>
    <row r="112" spans="1:11" x14ac:dyDescent="0.25">
      <c r="A112" s="8">
        <v>3</v>
      </c>
      <c r="B112" s="82"/>
      <c r="C112" s="3"/>
      <c r="D112" s="3"/>
      <c r="E112" s="3"/>
      <c r="F112" s="3"/>
      <c r="G112" s="3"/>
      <c r="H112" s="3"/>
      <c r="I112" s="3"/>
      <c r="J112" s="3"/>
      <c r="K112" s="9"/>
    </row>
    <row r="113" spans="1:11" ht="15.75" thickBot="1" x14ac:dyDescent="0.3">
      <c r="A113" s="73"/>
      <c r="B113" s="89"/>
      <c r="C113" s="26"/>
      <c r="D113" s="27"/>
      <c r="E113" s="28"/>
      <c r="F113" s="28"/>
      <c r="G113" s="28"/>
      <c r="H113" s="28"/>
      <c r="I113" s="28"/>
      <c r="J113" s="28"/>
      <c r="K113" s="57"/>
    </row>
    <row r="114" spans="1:11" ht="24.95" customHeight="1" thickBot="1" x14ac:dyDescent="0.3">
      <c r="A114" s="180" t="s">
        <v>105</v>
      </c>
      <c r="B114" s="181"/>
      <c r="C114" s="181"/>
      <c r="D114" s="182"/>
      <c r="E114" s="178" t="s">
        <v>48</v>
      </c>
      <c r="F114" s="178"/>
      <c r="G114" s="178"/>
      <c r="H114" s="178"/>
      <c r="I114" s="178"/>
      <c r="J114" s="178"/>
      <c r="K114" s="179"/>
    </row>
    <row r="115" spans="1:11" ht="15.75" thickBot="1" x14ac:dyDescent="0.3">
      <c r="A115" s="5" t="s">
        <v>0</v>
      </c>
      <c r="B115" s="87" t="s">
        <v>1</v>
      </c>
      <c r="C115" s="40" t="s">
        <v>10</v>
      </c>
      <c r="D115" s="40" t="s">
        <v>2</v>
      </c>
      <c r="E115" s="40" t="s">
        <v>3</v>
      </c>
      <c r="F115" s="40" t="s">
        <v>4</v>
      </c>
      <c r="G115" s="40" t="s">
        <v>5</v>
      </c>
      <c r="H115" s="40" t="s">
        <v>6</v>
      </c>
      <c r="I115" s="40" t="s">
        <v>7</v>
      </c>
      <c r="J115" s="40" t="s">
        <v>8</v>
      </c>
      <c r="K115" s="41" t="s">
        <v>9</v>
      </c>
    </row>
    <row r="116" spans="1:11" x14ac:dyDescent="0.25">
      <c r="A116" s="29">
        <v>1</v>
      </c>
      <c r="B116" s="90" t="s">
        <v>47</v>
      </c>
      <c r="C116" s="42" t="s">
        <v>36</v>
      </c>
      <c r="D116" s="42" t="s">
        <v>37</v>
      </c>
      <c r="E116" s="47">
        <v>93</v>
      </c>
      <c r="F116" s="47">
        <v>98</v>
      </c>
      <c r="G116" s="47">
        <v>93</v>
      </c>
      <c r="H116" s="47">
        <v>49</v>
      </c>
      <c r="I116" s="47">
        <v>68</v>
      </c>
      <c r="J116" s="47">
        <v>60</v>
      </c>
      <c r="K116" s="48">
        <f t="shared" ref="K116" si="7">SUM(E116:J116)</f>
        <v>461</v>
      </c>
    </row>
    <row r="117" spans="1:11" x14ac:dyDescent="0.25">
      <c r="A117" s="8">
        <v>2</v>
      </c>
      <c r="B117" s="82"/>
      <c r="C117" s="3"/>
      <c r="D117" s="3"/>
      <c r="E117" s="3"/>
      <c r="F117" s="3"/>
      <c r="G117" s="3"/>
      <c r="H117" s="3"/>
      <c r="I117" s="3"/>
      <c r="J117" s="3"/>
      <c r="K117" s="9"/>
    </row>
    <row r="118" spans="1:11" ht="15.75" thickBot="1" x14ac:dyDescent="0.3">
      <c r="A118" s="8">
        <v>3</v>
      </c>
      <c r="B118" s="82"/>
      <c r="C118" s="3"/>
      <c r="D118" s="3"/>
      <c r="E118" s="3"/>
      <c r="F118" s="3"/>
      <c r="G118" s="3"/>
      <c r="H118" s="3"/>
      <c r="I118" s="3"/>
      <c r="J118" s="3"/>
      <c r="K118" s="9"/>
    </row>
    <row r="119" spans="1:11" ht="24.95" customHeight="1" thickBot="1" x14ac:dyDescent="0.3">
      <c r="A119" s="165" t="s">
        <v>105</v>
      </c>
      <c r="B119" s="166"/>
      <c r="C119" s="166"/>
      <c r="D119" s="167"/>
      <c r="E119" s="174" t="s">
        <v>110</v>
      </c>
      <c r="F119" s="174"/>
      <c r="G119" s="174"/>
      <c r="H119" s="174"/>
      <c r="I119" s="174"/>
      <c r="J119" s="174"/>
      <c r="K119" s="175"/>
    </row>
    <row r="120" spans="1:11" ht="15.75" thickBot="1" x14ac:dyDescent="0.3">
      <c r="A120" s="5" t="s">
        <v>0</v>
      </c>
      <c r="B120" s="87" t="s">
        <v>1</v>
      </c>
      <c r="C120" s="40" t="s">
        <v>10</v>
      </c>
      <c r="D120" s="40" t="s">
        <v>2</v>
      </c>
      <c r="E120" s="40" t="s">
        <v>3</v>
      </c>
      <c r="F120" s="40" t="s">
        <v>4</v>
      </c>
      <c r="G120" s="40" t="s">
        <v>5</v>
      </c>
      <c r="H120" s="40" t="s">
        <v>6</v>
      </c>
      <c r="I120" s="40" t="s">
        <v>7</v>
      </c>
      <c r="J120" s="40" t="s">
        <v>8</v>
      </c>
      <c r="K120" s="41" t="s">
        <v>9</v>
      </c>
    </row>
    <row r="121" spans="1:11" x14ac:dyDescent="0.25">
      <c r="A121" s="29">
        <v>1</v>
      </c>
      <c r="B121" s="88" t="s">
        <v>40</v>
      </c>
      <c r="C121" s="30" t="s">
        <v>36</v>
      </c>
      <c r="D121" s="30" t="s">
        <v>37</v>
      </c>
      <c r="E121" s="74">
        <v>101.9</v>
      </c>
      <c r="F121" s="74">
        <v>101.2</v>
      </c>
      <c r="G121" s="74">
        <v>104.4</v>
      </c>
      <c r="H121" s="74">
        <v>101.8</v>
      </c>
      <c r="I121" s="74">
        <v>103.9</v>
      </c>
      <c r="J121" s="74">
        <v>104.1</v>
      </c>
      <c r="K121" s="75">
        <f>SUM(E121:J121)</f>
        <v>617.30000000000007</v>
      </c>
    </row>
    <row r="122" spans="1:11" x14ac:dyDescent="0.25">
      <c r="A122" s="29">
        <v>2</v>
      </c>
      <c r="B122" s="88" t="s">
        <v>49</v>
      </c>
      <c r="C122" s="30" t="s">
        <v>36</v>
      </c>
      <c r="D122" s="30" t="s">
        <v>37</v>
      </c>
      <c r="E122" s="74">
        <v>98.2</v>
      </c>
      <c r="F122" s="74">
        <v>100.4</v>
      </c>
      <c r="G122" s="74">
        <v>101.8</v>
      </c>
      <c r="H122" s="74">
        <v>97.1</v>
      </c>
      <c r="I122" s="74">
        <v>100.8</v>
      </c>
      <c r="J122" s="74">
        <v>102.5</v>
      </c>
      <c r="K122" s="75">
        <f>SUM(E122:J122)</f>
        <v>600.79999999999995</v>
      </c>
    </row>
    <row r="123" spans="1:11" x14ac:dyDescent="0.25">
      <c r="A123" s="8">
        <v>3</v>
      </c>
      <c r="B123" s="82" t="s">
        <v>45</v>
      </c>
      <c r="C123" s="3" t="s">
        <v>36</v>
      </c>
      <c r="D123" s="3" t="s">
        <v>37</v>
      </c>
      <c r="E123" s="58">
        <v>93</v>
      </c>
      <c r="F123" s="58">
        <v>95.4</v>
      </c>
      <c r="G123" s="58">
        <v>97.4</v>
      </c>
      <c r="H123" s="58">
        <v>93.8</v>
      </c>
      <c r="I123" s="58">
        <v>95.6</v>
      </c>
      <c r="J123" s="58">
        <v>92.3</v>
      </c>
      <c r="K123" s="60">
        <f>SUM(E123:J123)</f>
        <v>567.5</v>
      </c>
    </row>
    <row r="124" spans="1:11" x14ac:dyDescent="0.25">
      <c r="A124" s="29">
        <v>4</v>
      </c>
      <c r="B124" s="88" t="s">
        <v>100</v>
      </c>
      <c r="C124" s="30" t="s">
        <v>36</v>
      </c>
      <c r="D124" s="30" t="s">
        <v>101</v>
      </c>
      <c r="E124" s="74">
        <v>63.1</v>
      </c>
      <c r="F124" s="74">
        <v>65.5</v>
      </c>
      <c r="G124" s="74">
        <v>59.9</v>
      </c>
      <c r="H124" s="74">
        <v>84.3</v>
      </c>
      <c r="I124" s="74">
        <v>83.8</v>
      </c>
      <c r="J124" s="74">
        <v>84.8</v>
      </c>
      <c r="K124" s="75">
        <f>SUM(E124:J124)</f>
        <v>441.40000000000003</v>
      </c>
    </row>
    <row r="125" spans="1:11" ht="15.75" thickBot="1" x14ac:dyDescent="0.3">
      <c r="A125" s="8">
        <v>5</v>
      </c>
      <c r="B125" s="82"/>
      <c r="C125" s="3"/>
      <c r="D125" s="3"/>
      <c r="E125" s="3"/>
      <c r="F125" s="3"/>
      <c r="G125" s="3"/>
      <c r="H125" s="3"/>
      <c r="I125" s="3"/>
      <c r="J125" s="3"/>
      <c r="K125" s="9"/>
    </row>
    <row r="126" spans="1:11" ht="24.95" customHeight="1" thickBot="1" x14ac:dyDescent="0.3">
      <c r="A126" s="162" t="s">
        <v>105</v>
      </c>
      <c r="B126" s="163"/>
      <c r="C126" s="163"/>
      <c r="D126" s="164"/>
      <c r="E126" s="172" t="s">
        <v>43</v>
      </c>
      <c r="F126" s="172"/>
      <c r="G126" s="172"/>
      <c r="H126" s="172"/>
      <c r="I126" s="172"/>
      <c r="J126" s="172"/>
      <c r="K126" s="173"/>
    </row>
    <row r="127" spans="1:11" ht="15.75" thickBot="1" x14ac:dyDescent="0.3">
      <c r="A127" s="31" t="s">
        <v>0</v>
      </c>
      <c r="B127" s="91" t="s">
        <v>1</v>
      </c>
      <c r="C127" s="32" t="s">
        <v>10</v>
      </c>
      <c r="D127" s="32" t="s">
        <v>2</v>
      </c>
      <c r="E127" s="32" t="s">
        <v>3</v>
      </c>
      <c r="F127" s="32" t="s">
        <v>4</v>
      </c>
      <c r="G127" s="32" t="s">
        <v>5</v>
      </c>
      <c r="H127" s="32" t="s">
        <v>6</v>
      </c>
      <c r="I127" s="32" t="s">
        <v>7</v>
      </c>
      <c r="J127" s="32" t="s">
        <v>8</v>
      </c>
      <c r="K127" s="33" t="s">
        <v>9</v>
      </c>
    </row>
    <row r="128" spans="1:11" x14ac:dyDescent="0.25">
      <c r="A128" s="18">
        <v>1</v>
      </c>
      <c r="B128" s="92" t="s">
        <v>42</v>
      </c>
      <c r="C128" s="19" t="s">
        <v>36</v>
      </c>
      <c r="D128" s="19" t="s">
        <v>37</v>
      </c>
      <c r="E128" s="19">
        <v>100.2</v>
      </c>
      <c r="F128" s="19">
        <v>102.3</v>
      </c>
      <c r="G128" s="19">
        <v>100.6</v>
      </c>
      <c r="H128" s="19">
        <v>100.7</v>
      </c>
      <c r="I128" s="19">
        <v>102.1</v>
      </c>
      <c r="J128" s="19">
        <v>100.5</v>
      </c>
      <c r="K128" s="9">
        <f t="shared" ref="K128:K129" si="8">SUM(E128:J128)</f>
        <v>606.4</v>
      </c>
    </row>
    <row r="129" spans="1:11" x14ac:dyDescent="0.25">
      <c r="A129" s="8">
        <v>2</v>
      </c>
      <c r="B129" s="85" t="s">
        <v>47</v>
      </c>
      <c r="C129" s="20" t="s">
        <v>36</v>
      </c>
      <c r="D129" s="20" t="s">
        <v>37</v>
      </c>
      <c r="E129" s="3">
        <v>97</v>
      </c>
      <c r="F129" s="3">
        <v>98.2</v>
      </c>
      <c r="G129" s="3">
        <v>98.7</v>
      </c>
      <c r="H129" s="3">
        <v>94.9</v>
      </c>
      <c r="I129" s="3">
        <v>99.2</v>
      </c>
      <c r="J129" s="3">
        <v>94.6</v>
      </c>
      <c r="K129" s="9">
        <f t="shared" si="8"/>
        <v>582.59999999999991</v>
      </c>
    </row>
    <row r="130" spans="1:11" x14ac:dyDescent="0.25">
      <c r="A130" s="8">
        <v>3</v>
      </c>
      <c r="B130" s="82"/>
      <c r="C130" s="3"/>
      <c r="D130" s="3"/>
      <c r="E130" s="3"/>
      <c r="F130" s="3"/>
      <c r="G130" s="3"/>
      <c r="H130" s="3"/>
      <c r="I130" s="3"/>
      <c r="J130" s="3"/>
      <c r="K130" s="9"/>
    </row>
    <row r="131" spans="1:11" ht="15.75" thickBot="1" x14ac:dyDescent="0.3">
      <c r="A131" s="8">
        <v>4</v>
      </c>
      <c r="B131" s="82"/>
      <c r="C131" s="3"/>
      <c r="D131" s="3"/>
      <c r="E131" s="3"/>
      <c r="F131" s="3"/>
      <c r="G131" s="3"/>
      <c r="H131" s="3"/>
      <c r="I131" s="3"/>
      <c r="J131" s="3"/>
      <c r="K131" s="9"/>
    </row>
    <row r="132" spans="1:11" ht="24.95" customHeight="1" thickBot="1" x14ac:dyDescent="0.3">
      <c r="A132" s="162" t="s">
        <v>105</v>
      </c>
      <c r="B132" s="163"/>
      <c r="C132" s="163"/>
      <c r="D132" s="164"/>
      <c r="E132" s="172" t="s">
        <v>15</v>
      </c>
      <c r="F132" s="172"/>
      <c r="G132" s="172"/>
      <c r="H132" s="172"/>
      <c r="I132" s="172"/>
      <c r="J132" s="172"/>
      <c r="K132" s="173"/>
    </row>
    <row r="133" spans="1:11" x14ac:dyDescent="0.25">
      <c r="A133" s="6" t="s">
        <v>0</v>
      </c>
      <c r="B133" s="81" t="s">
        <v>1</v>
      </c>
      <c r="C133" s="2" t="s">
        <v>10</v>
      </c>
      <c r="D133" s="2" t="s">
        <v>2</v>
      </c>
      <c r="E133" s="2" t="s">
        <v>3</v>
      </c>
      <c r="F133" s="2" t="s">
        <v>4</v>
      </c>
      <c r="G133" s="2" t="s">
        <v>5</v>
      </c>
      <c r="H133" s="2" t="s">
        <v>6</v>
      </c>
      <c r="I133" s="2" t="s">
        <v>7</v>
      </c>
      <c r="J133" s="2" t="s">
        <v>8</v>
      </c>
      <c r="K133" s="7" t="s">
        <v>9</v>
      </c>
    </row>
    <row r="134" spans="1:11" x14ac:dyDescent="0.25">
      <c r="A134" s="8">
        <v>1</v>
      </c>
      <c r="B134" s="82" t="s">
        <v>77</v>
      </c>
      <c r="C134" s="3" t="s">
        <v>57</v>
      </c>
      <c r="D134" s="3" t="s">
        <v>58</v>
      </c>
      <c r="E134" s="52">
        <v>87</v>
      </c>
      <c r="F134" s="52">
        <v>91</v>
      </c>
      <c r="G134" s="52">
        <v>88</v>
      </c>
      <c r="H134" s="52">
        <v>85</v>
      </c>
      <c r="I134" s="52">
        <v>88</v>
      </c>
      <c r="J134" s="52">
        <v>84</v>
      </c>
      <c r="K134" s="55">
        <f t="shared" ref="K134" si="9">SUM(E134:J134)</f>
        <v>523</v>
      </c>
    </row>
    <row r="135" spans="1:11" x14ac:dyDescent="0.25">
      <c r="A135" s="8">
        <v>2</v>
      </c>
      <c r="B135" s="82" t="s">
        <v>25</v>
      </c>
      <c r="C135" s="3" t="s">
        <v>22</v>
      </c>
      <c r="D135" s="3" t="s">
        <v>23</v>
      </c>
      <c r="E135" s="52">
        <v>83</v>
      </c>
      <c r="F135" s="52">
        <v>79</v>
      </c>
      <c r="G135" s="52">
        <v>83</v>
      </c>
      <c r="H135" s="52">
        <v>92</v>
      </c>
      <c r="I135" s="52">
        <v>81</v>
      </c>
      <c r="J135" s="52">
        <v>84</v>
      </c>
      <c r="K135" s="55">
        <f>SUM(E135:J135)</f>
        <v>502</v>
      </c>
    </row>
    <row r="136" spans="1:11" x14ac:dyDescent="0.25">
      <c r="A136" s="8">
        <v>3</v>
      </c>
      <c r="B136" s="82" t="s">
        <v>111</v>
      </c>
      <c r="C136" s="3" t="s">
        <v>36</v>
      </c>
      <c r="D136" s="3" t="s">
        <v>37</v>
      </c>
      <c r="E136" s="59"/>
      <c r="F136" s="59"/>
      <c r="G136" s="59"/>
      <c r="H136" s="59"/>
      <c r="I136" s="59"/>
      <c r="J136" s="59"/>
      <c r="K136" s="9" t="s">
        <v>103</v>
      </c>
    </row>
    <row r="137" spans="1:11" ht="15.75" thickBot="1" x14ac:dyDescent="0.3">
      <c r="A137" s="8"/>
      <c r="B137" s="82"/>
      <c r="C137" s="3"/>
      <c r="D137" s="3"/>
      <c r="E137" s="3"/>
      <c r="F137" s="3"/>
      <c r="G137" s="3"/>
      <c r="H137" s="3"/>
      <c r="I137" s="3"/>
      <c r="J137" s="3"/>
      <c r="K137" s="9"/>
    </row>
    <row r="138" spans="1:11" ht="24.95" customHeight="1" thickBot="1" x14ac:dyDescent="0.3">
      <c r="A138" s="162" t="s">
        <v>105</v>
      </c>
      <c r="B138" s="163"/>
      <c r="C138" s="163"/>
      <c r="D138" s="164"/>
      <c r="E138" s="172" t="s">
        <v>16</v>
      </c>
      <c r="F138" s="172"/>
      <c r="G138" s="172"/>
      <c r="H138" s="172"/>
      <c r="I138" s="172"/>
      <c r="J138" s="172"/>
      <c r="K138" s="173"/>
    </row>
    <row r="139" spans="1:11" x14ac:dyDescent="0.25">
      <c r="A139" s="6" t="s">
        <v>0</v>
      </c>
      <c r="B139" s="81" t="s">
        <v>1</v>
      </c>
      <c r="C139" s="2" t="s">
        <v>10</v>
      </c>
      <c r="D139" s="2" t="s">
        <v>2</v>
      </c>
      <c r="E139" s="2" t="s">
        <v>3</v>
      </c>
      <c r="F139" s="2" t="s">
        <v>4</v>
      </c>
      <c r="G139" s="2" t="s">
        <v>5</v>
      </c>
      <c r="H139" s="2" t="s">
        <v>6</v>
      </c>
      <c r="I139" s="2" t="s">
        <v>7</v>
      </c>
      <c r="J139" s="2" t="s">
        <v>8</v>
      </c>
      <c r="K139" s="7" t="s">
        <v>9</v>
      </c>
    </row>
    <row r="140" spans="1:11" x14ac:dyDescent="0.25">
      <c r="A140" s="8">
        <v>1</v>
      </c>
      <c r="B140" s="82" t="s">
        <v>34</v>
      </c>
      <c r="C140" s="3" t="s">
        <v>22</v>
      </c>
      <c r="D140" s="3" t="s">
        <v>23</v>
      </c>
      <c r="E140" s="52">
        <v>81</v>
      </c>
      <c r="F140" s="52">
        <v>83</v>
      </c>
      <c r="G140" s="52">
        <v>89</v>
      </c>
      <c r="H140" s="52">
        <v>89</v>
      </c>
      <c r="I140" s="52">
        <v>88</v>
      </c>
      <c r="J140" s="52">
        <v>77</v>
      </c>
      <c r="K140" s="55">
        <f t="shared" ref="K140:K142" si="10">SUM(E140:J140)</f>
        <v>507</v>
      </c>
    </row>
    <row r="141" spans="1:11" x14ac:dyDescent="0.25">
      <c r="A141" s="8">
        <v>2</v>
      </c>
      <c r="B141" s="82" t="s">
        <v>38</v>
      </c>
      <c r="C141" s="3" t="s">
        <v>36</v>
      </c>
      <c r="D141" s="3" t="s">
        <v>37</v>
      </c>
      <c r="E141" s="52">
        <v>70</v>
      </c>
      <c r="F141" s="52">
        <v>79</v>
      </c>
      <c r="G141" s="52">
        <v>78</v>
      </c>
      <c r="H141" s="52">
        <v>86</v>
      </c>
      <c r="I141" s="52">
        <v>78</v>
      </c>
      <c r="J141" s="52">
        <v>83</v>
      </c>
      <c r="K141" s="55">
        <f t="shared" si="10"/>
        <v>474</v>
      </c>
    </row>
    <row r="142" spans="1:11" x14ac:dyDescent="0.25">
      <c r="A142" s="8">
        <v>3</v>
      </c>
      <c r="B142" s="82" t="s">
        <v>97</v>
      </c>
      <c r="C142" s="3" t="s">
        <v>98</v>
      </c>
      <c r="D142" s="3" t="s">
        <v>99</v>
      </c>
      <c r="E142" s="52">
        <v>74</v>
      </c>
      <c r="F142" s="52">
        <v>79</v>
      </c>
      <c r="G142" s="52">
        <v>71</v>
      </c>
      <c r="H142" s="52">
        <v>80</v>
      </c>
      <c r="I142" s="52">
        <v>71</v>
      </c>
      <c r="J142" s="52">
        <v>79</v>
      </c>
      <c r="K142" s="55">
        <f t="shared" si="10"/>
        <v>454</v>
      </c>
    </row>
    <row r="143" spans="1:11" ht="15.75" thickBot="1" x14ac:dyDescent="0.3">
      <c r="A143" s="8"/>
      <c r="B143" s="82"/>
      <c r="C143" s="3"/>
      <c r="D143" s="3"/>
      <c r="E143" s="3"/>
      <c r="F143" s="3"/>
      <c r="G143" s="3"/>
      <c r="H143" s="3"/>
      <c r="I143" s="3"/>
      <c r="J143" s="3"/>
      <c r="K143" s="9"/>
    </row>
    <row r="144" spans="1:11" ht="24.95" customHeight="1" thickBot="1" x14ac:dyDescent="0.3">
      <c r="A144" s="162" t="s">
        <v>105</v>
      </c>
      <c r="B144" s="163"/>
      <c r="C144" s="163"/>
      <c r="D144" s="164"/>
      <c r="E144" s="172" t="s">
        <v>17</v>
      </c>
      <c r="F144" s="172"/>
      <c r="G144" s="172"/>
      <c r="H144" s="172"/>
      <c r="I144" s="172"/>
      <c r="J144" s="172"/>
      <c r="K144" s="173"/>
    </row>
    <row r="145" spans="1:11" ht="15.75" thickBot="1" x14ac:dyDescent="0.3">
      <c r="A145" s="37" t="s">
        <v>0</v>
      </c>
      <c r="B145" s="93" t="s">
        <v>1</v>
      </c>
      <c r="C145" s="38" t="s">
        <v>10</v>
      </c>
      <c r="D145" s="38" t="s">
        <v>2</v>
      </c>
      <c r="E145" s="38" t="s">
        <v>3</v>
      </c>
      <c r="F145" s="38" t="s">
        <v>4</v>
      </c>
      <c r="G145" s="38" t="s">
        <v>5</v>
      </c>
      <c r="H145" s="38" t="s">
        <v>6</v>
      </c>
      <c r="I145" s="38" t="s">
        <v>7</v>
      </c>
      <c r="J145" s="38" t="s">
        <v>8</v>
      </c>
      <c r="K145" s="39" t="s">
        <v>9</v>
      </c>
    </row>
    <row r="146" spans="1:11" x14ac:dyDescent="0.25">
      <c r="A146" s="18">
        <v>1</v>
      </c>
      <c r="B146" s="94" t="s">
        <v>39</v>
      </c>
      <c r="C146" s="44" t="s">
        <v>36</v>
      </c>
      <c r="D146" s="44" t="s">
        <v>37</v>
      </c>
      <c r="E146" s="49">
        <v>70</v>
      </c>
      <c r="F146" s="49">
        <v>68</v>
      </c>
      <c r="G146" s="49">
        <v>85</v>
      </c>
      <c r="H146" s="49">
        <v>79</v>
      </c>
      <c r="I146" s="49">
        <v>83</v>
      </c>
      <c r="J146" s="50">
        <v>75</v>
      </c>
      <c r="K146" s="51">
        <f>SUM(E146:J146)</f>
        <v>460</v>
      </c>
    </row>
    <row r="147" spans="1:11" x14ac:dyDescent="0.25">
      <c r="A147" s="8">
        <v>2</v>
      </c>
      <c r="B147" s="82" t="s">
        <v>33</v>
      </c>
      <c r="C147" s="3" t="s">
        <v>22</v>
      </c>
      <c r="D147" s="3" t="s">
        <v>23</v>
      </c>
      <c r="E147" s="52">
        <v>64</v>
      </c>
      <c r="F147" s="52">
        <v>79</v>
      </c>
      <c r="G147" s="52">
        <v>74</v>
      </c>
      <c r="H147" s="52">
        <v>79</v>
      </c>
      <c r="I147" s="52">
        <v>82</v>
      </c>
      <c r="J147" s="53">
        <v>81</v>
      </c>
      <c r="K147" s="54">
        <f>SUM(E147:J147)</f>
        <v>459</v>
      </c>
    </row>
    <row r="148" spans="1:11" x14ac:dyDescent="0.25">
      <c r="A148" s="8">
        <v>3</v>
      </c>
      <c r="B148" s="82" t="s">
        <v>53</v>
      </c>
      <c r="C148" s="3" t="s">
        <v>51</v>
      </c>
      <c r="D148" s="3" t="s">
        <v>92</v>
      </c>
      <c r="E148" s="52">
        <v>77</v>
      </c>
      <c r="F148" s="52">
        <v>64</v>
      </c>
      <c r="G148" s="52">
        <v>68</v>
      </c>
      <c r="H148" s="52">
        <v>65</v>
      </c>
      <c r="I148" s="52">
        <v>79</v>
      </c>
      <c r="J148" s="53">
        <v>82</v>
      </c>
      <c r="K148" s="54">
        <f>SUM(E148:J148)</f>
        <v>435</v>
      </c>
    </row>
    <row r="149" spans="1:11" x14ac:dyDescent="0.25">
      <c r="A149" s="8">
        <v>4</v>
      </c>
      <c r="B149" s="82" t="s">
        <v>30</v>
      </c>
      <c r="C149" s="3" t="s">
        <v>22</v>
      </c>
      <c r="D149" s="3" t="s">
        <v>23</v>
      </c>
      <c r="E149" s="52">
        <v>74</v>
      </c>
      <c r="F149" s="52">
        <v>77</v>
      </c>
      <c r="G149" s="52">
        <v>75</v>
      </c>
      <c r="H149" s="52">
        <v>70</v>
      </c>
      <c r="I149" s="52">
        <v>71</v>
      </c>
      <c r="J149" s="53">
        <v>67</v>
      </c>
      <c r="K149" s="54">
        <f>SUM(E149:J149)</f>
        <v>434</v>
      </c>
    </row>
    <row r="150" spans="1:11" ht="15.75" thickBot="1" x14ac:dyDescent="0.3">
      <c r="A150" s="8">
        <v>5</v>
      </c>
      <c r="B150" s="82"/>
      <c r="C150" s="3"/>
      <c r="D150" s="3"/>
      <c r="E150" s="43"/>
      <c r="F150" s="43"/>
      <c r="G150" s="43"/>
      <c r="H150" s="43"/>
      <c r="I150" s="43"/>
      <c r="J150" s="45"/>
      <c r="K150" s="46"/>
    </row>
    <row r="151" spans="1:11" ht="24.95" customHeight="1" thickBot="1" x14ac:dyDescent="0.3">
      <c r="A151" s="162" t="s">
        <v>105</v>
      </c>
      <c r="B151" s="163"/>
      <c r="C151" s="163"/>
      <c r="D151" s="164"/>
      <c r="E151" s="172" t="s">
        <v>94</v>
      </c>
      <c r="F151" s="172"/>
      <c r="G151" s="172"/>
      <c r="H151" s="172"/>
      <c r="I151" s="172"/>
      <c r="J151" s="172"/>
      <c r="K151" s="173"/>
    </row>
    <row r="152" spans="1:11" x14ac:dyDescent="0.25">
      <c r="A152" s="6" t="s">
        <v>0</v>
      </c>
      <c r="B152" s="81" t="s">
        <v>1</v>
      </c>
      <c r="C152" s="2" t="s">
        <v>10</v>
      </c>
      <c r="D152" s="2" t="s">
        <v>2</v>
      </c>
      <c r="E152" s="2" t="s">
        <v>3</v>
      </c>
      <c r="F152" s="2" t="s">
        <v>4</v>
      </c>
      <c r="G152" s="2" t="s">
        <v>5</v>
      </c>
      <c r="H152" s="2" t="s">
        <v>6</v>
      </c>
      <c r="I152" s="2" t="s">
        <v>7</v>
      </c>
      <c r="J152" s="2" t="s">
        <v>8</v>
      </c>
      <c r="K152" s="7" t="s">
        <v>9</v>
      </c>
    </row>
    <row r="153" spans="1:11" x14ac:dyDescent="0.25">
      <c r="A153" s="8">
        <v>1</v>
      </c>
      <c r="B153" s="82" t="s">
        <v>29</v>
      </c>
      <c r="C153" s="3" t="s">
        <v>22</v>
      </c>
      <c r="D153" s="3" t="s">
        <v>23</v>
      </c>
      <c r="E153" s="52">
        <v>83</v>
      </c>
      <c r="F153" s="52">
        <v>84</v>
      </c>
      <c r="G153" s="52">
        <v>78</v>
      </c>
      <c r="H153" s="52">
        <v>86</v>
      </c>
      <c r="I153" s="52">
        <v>78</v>
      </c>
      <c r="J153" s="52">
        <v>84</v>
      </c>
      <c r="K153" s="55">
        <f t="shared" ref="K153" si="11">SUM(E153:J153)</f>
        <v>493</v>
      </c>
    </row>
    <row r="154" spans="1:11" x14ac:dyDescent="0.25">
      <c r="A154" s="8">
        <v>2</v>
      </c>
      <c r="B154" s="82"/>
      <c r="C154" s="3"/>
      <c r="D154" s="3"/>
      <c r="E154" s="3"/>
      <c r="F154" s="3"/>
      <c r="G154" s="3"/>
      <c r="H154" s="3"/>
      <c r="I154" s="3"/>
      <c r="J154" s="3"/>
      <c r="K154" s="9"/>
    </row>
    <row r="155" spans="1:11" x14ac:dyDescent="0.25">
      <c r="A155" s="8">
        <v>3</v>
      </c>
      <c r="B155" s="82"/>
      <c r="C155" s="3"/>
      <c r="D155" s="3"/>
      <c r="E155" s="3"/>
      <c r="F155" s="3"/>
      <c r="G155" s="3"/>
      <c r="H155" s="3"/>
      <c r="I155" s="3"/>
      <c r="J155" s="3"/>
      <c r="K155" s="9"/>
    </row>
    <row r="156" spans="1:11" ht="15.75" thickBot="1" x14ac:dyDescent="0.3">
      <c r="A156" s="8">
        <v>4</v>
      </c>
      <c r="B156" s="82"/>
      <c r="C156" s="3"/>
      <c r="D156" s="3"/>
      <c r="E156" s="3"/>
      <c r="F156" s="3"/>
      <c r="G156" s="3"/>
      <c r="H156" s="3"/>
      <c r="I156" s="3"/>
      <c r="J156" s="3"/>
      <c r="K156" s="9"/>
    </row>
    <row r="157" spans="1:11" ht="24.95" customHeight="1" thickBot="1" x14ac:dyDescent="0.3">
      <c r="A157" s="162" t="s">
        <v>105</v>
      </c>
      <c r="B157" s="163"/>
      <c r="C157" s="163"/>
      <c r="D157" s="164"/>
      <c r="E157" s="172" t="s">
        <v>75</v>
      </c>
      <c r="F157" s="172"/>
      <c r="G157" s="172"/>
      <c r="H157" s="172"/>
      <c r="I157" s="172"/>
      <c r="J157" s="172"/>
      <c r="K157" s="173"/>
    </row>
    <row r="158" spans="1:11" ht="15.75" thickBot="1" x14ac:dyDescent="0.3">
      <c r="A158" s="31" t="s">
        <v>0</v>
      </c>
      <c r="B158" s="91" t="s">
        <v>1</v>
      </c>
      <c r="C158" s="32" t="s">
        <v>10</v>
      </c>
      <c r="D158" s="32" t="s">
        <v>2</v>
      </c>
      <c r="E158" s="32" t="s">
        <v>3</v>
      </c>
      <c r="F158" s="32" t="s">
        <v>4</v>
      </c>
      <c r="G158" s="32" t="s">
        <v>5</v>
      </c>
      <c r="H158" s="32" t="s">
        <v>6</v>
      </c>
      <c r="I158" s="32" t="s">
        <v>7</v>
      </c>
      <c r="J158" s="32" t="s">
        <v>8</v>
      </c>
      <c r="K158" s="33" t="s">
        <v>9</v>
      </c>
    </row>
    <row r="159" spans="1:11" ht="15.75" thickBot="1" x14ac:dyDescent="0.3">
      <c r="A159" s="18">
        <v>1</v>
      </c>
      <c r="B159" s="92" t="s">
        <v>24</v>
      </c>
      <c r="C159" s="19" t="s">
        <v>22</v>
      </c>
      <c r="D159" s="19" t="s">
        <v>23</v>
      </c>
      <c r="E159" s="49">
        <f>10+9+9+7+7+10+10+10+9+9</f>
        <v>90</v>
      </c>
      <c r="F159" s="49">
        <f>10+10+10+9+9+10+10+10+10+9</f>
        <v>97</v>
      </c>
      <c r="G159" s="49">
        <f>10+10+10+10+9+10+10+9+9+9</f>
        <v>96</v>
      </c>
      <c r="H159" s="49">
        <f>10+10+9+9+7+10+9+8+8+7</f>
        <v>87</v>
      </c>
      <c r="I159" s="49">
        <f>10+10+9+7+6+10+10+10+9+9</f>
        <v>90</v>
      </c>
      <c r="J159" s="49">
        <f>10+10+10+9+7+10+9+9+8+7</f>
        <v>89</v>
      </c>
      <c r="K159" s="56">
        <f>SUM(E159:J159)</f>
        <v>549</v>
      </c>
    </row>
    <row r="160" spans="1:11" ht="15.75" thickBot="1" x14ac:dyDescent="0.3">
      <c r="A160" s="8">
        <v>2</v>
      </c>
      <c r="B160" s="82" t="s">
        <v>90</v>
      </c>
      <c r="C160" s="3" t="s">
        <v>51</v>
      </c>
      <c r="D160" s="66" t="s">
        <v>55</v>
      </c>
      <c r="E160" s="52">
        <f>10+9+9+9+8+10+10+10+9+8</f>
        <v>92</v>
      </c>
      <c r="F160" s="52">
        <f>10+10+9+8+7+10+10+9+9+8</f>
        <v>90</v>
      </c>
      <c r="G160" s="52">
        <f>10+10+10+10+9+10+10+9+9+8</f>
        <v>95</v>
      </c>
      <c r="H160" s="52">
        <f>9+9+9+9+8+10+10+10+9+6</f>
        <v>89</v>
      </c>
      <c r="I160" s="52">
        <f>10+10+10+9+8+10+10+9+9+9</f>
        <v>94</v>
      </c>
      <c r="J160" s="52">
        <f>10+10+10+0+0+10+9+9+9+8</f>
        <v>75</v>
      </c>
      <c r="K160" s="67">
        <f t="shared" ref="K160" si="12">SUM(E160:J160)</f>
        <v>535</v>
      </c>
    </row>
    <row r="161" spans="1:11" ht="15.75" thickBot="1" x14ac:dyDescent="0.3">
      <c r="A161" s="8">
        <v>3</v>
      </c>
      <c r="B161" s="82" t="s">
        <v>78</v>
      </c>
      <c r="C161" s="3" t="s">
        <v>51</v>
      </c>
      <c r="D161" s="66" t="s">
        <v>79</v>
      </c>
      <c r="E161" s="65"/>
      <c r="F161" s="65"/>
      <c r="G161" s="65"/>
      <c r="H161" s="65"/>
      <c r="I161" s="65"/>
      <c r="J161" s="65"/>
      <c r="K161" s="68" t="s">
        <v>103</v>
      </c>
    </row>
    <row r="162" spans="1:11" ht="15.75" thickBot="1" x14ac:dyDescent="0.3">
      <c r="A162" s="8">
        <v>4</v>
      </c>
      <c r="B162" s="82" t="s">
        <v>31</v>
      </c>
      <c r="C162" s="3" t="s">
        <v>22</v>
      </c>
      <c r="D162" s="3" t="s">
        <v>23</v>
      </c>
      <c r="E162" s="70"/>
      <c r="F162" s="70"/>
      <c r="G162" s="70"/>
      <c r="H162" s="70"/>
      <c r="I162" s="70"/>
      <c r="J162" s="70"/>
      <c r="K162" s="34" t="s">
        <v>103</v>
      </c>
    </row>
    <row r="163" spans="1:11" ht="15.75" thickBot="1" x14ac:dyDescent="0.3">
      <c r="A163" s="8">
        <v>5</v>
      </c>
      <c r="B163" s="82"/>
      <c r="C163" s="3"/>
      <c r="D163" s="3"/>
      <c r="E163" s="3"/>
      <c r="F163" s="3"/>
      <c r="G163" s="3"/>
      <c r="H163" s="3"/>
      <c r="I163" s="3"/>
      <c r="J163" s="3"/>
      <c r="K163" s="34"/>
    </row>
    <row r="164" spans="1:11" ht="24.95" customHeight="1" thickBot="1" x14ac:dyDescent="0.3">
      <c r="A164" s="162" t="s">
        <v>105</v>
      </c>
      <c r="B164" s="163"/>
      <c r="C164" s="163"/>
      <c r="D164" s="164"/>
      <c r="E164" s="172" t="s">
        <v>89</v>
      </c>
      <c r="F164" s="172"/>
      <c r="G164" s="172"/>
      <c r="H164" s="172"/>
      <c r="I164" s="172"/>
      <c r="J164" s="172"/>
      <c r="K164" s="173"/>
    </row>
    <row r="165" spans="1:11" x14ac:dyDescent="0.25">
      <c r="A165" s="6" t="s">
        <v>0</v>
      </c>
      <c r="B165" s="81" t="s">
        <v>1</v>
      </c>
      <c r="C165" s="2" t="s">
        <v>10</v>
      </c>
      <c r="D165" s="2" t="s">
        <v>2</v>
      </c>
      <c r="E165" s="2" t="s">
        <v>3</v>
      </c>
      <c r="F165" s="2" t="s">
        <v>4</v>
      </c>
      <c r="G165" s="2" t="s">
        <v>5</v>
      </c>
      <c r="H165" s="2" t="s">
        <v>6</v>
      </c>
      <c r="I165" s="2" t="s">
        <v>7</v>
      </c>
      <c r="J165" s="2" t="s">
        <v>8</v>
      </c>
      <c r="K165" s="7" t="s">
        <v>9</v>
      </c>
    </row>
    <row r="166" spans="1:11" x14ac:dyDescent="0.25">
      <c r="A166" s="8">
        <v>1</v>
      </c>
      <c r="B166" s="82" t="s">
        <v>34</v>
      </c>
      <c r="C166" s="3" t="s">
        <v>22</v>
      </c>
      <c r="D166" s="3" t="s">
        <v>23</v>
      </c>
      <c r="E166" s="52">
        <f>10+10+10+9+8+10+9+9+9+9</f>
        <v>93</v>
      </c>
      <c r="F166" s="52">
        <f>10+9+9+9+9+10+10+10+9+9</f>
        <v>94</v>
      </c>
      <c r="G166" s="52">
        <f>10+10+9+9+9+10+10+9+9+9</f>
        <v>94</v>
      </c>
      <c r="H166" s="52">
        <f>10+9+9+8+7+10+10+8+8+7</f>
        <v>86</v>
      </c>
      <c r="I166" s="52">
        <f>10+10+9+9+9+10+10+10+9+9</f>
        <v>95</v>
      </c>
      <c r="J166" s="52">
        <f>10+10+10+9+8+10+10+10+9+8</f>
        <v>94</v>
      </c>
      <c r="K166" s="55">
        <f>SUM(E166:J166)</f>
        <v>556</v>
      </c>
    </row>
    <row r="167" spans="1:11" x14ac:dyDescent="0.25">
      <c r="A167" s="8">
        <v>2</v>
      </c>
      <c r="B167" s="82" t="s">
        <v>115</v>
      </c>
      <c r="C167" s="3" t="s">
        <v>22</v>
      </c>
      <c r="D167" s="3" t="s">
        <v>23</v>
      </c>
      <c r="E167" s="52">
        <f>10+10+9+9+9+10+10+9+9+9</f>
        <v>94</v>
      </c>
      <c r="F167" s="52">
        <f>10+10+9+9+9+10+10+10+10+9</f>
        <v>96</v>
      </c>
      <c r="G167" s="52">
        <f>10+10+10+9+8+10+10+9+9+8</f>
        <v>93</v>
      </c>
      <c r="H167" s="52">
        <f>10+9+9+8+7+10+10+10+9+9</f>
        <v>91</v>
      </c>
      <c r="I167" s="52">
        <f>10+10+10+8+5+10+10+9+8+8</f>
        <v>88</v>
      </c>
      <c r="J167" s="52">
        <f>10+9+9+9+7+10+9+8+7+7</f>
        <v>85</v>
      </c>
      <c r="K167" s="55">
        <f>SUM(E167:J167)</f>
        <v>547</v>
      </c>
    </row>
    <row r="168" spans="1:11" x14ac:dyDescent="0.25">
      <c r="A168" s="8">
        <v>3</v>
      </c>
      <c r="B168" s="82" t="s">
        <v>54</v>
      </c>
      <c r="C168" s="3" t="s">
        <v>51</v>
      </c>
      <c r="D168" s="3" t="s">
        <v>55</v>
      </c>
      <c r="E168" s="52">
        <f>10+9+9+8+8+10+10+9+9+8</f>
        <v>90</v>
      </c>
      <c r="F168" s="52">
        <f>10+10+10+9+9+10+10+9+8+8</f>
        <v>93</v>
      </c>
      <c r="G168" s="52">
        <f>10+9+9+8+7+9+9+9+8+8</f>
        <v>86</v>
      </c>
      <c r="H168" s="52">
        <f>10+10+10+9+8+10+9+9+8+5</f>
        <v>88</v>
      </c>
      <c r="I168" s="52">
        <f>10+9+9+8+8+10+10+9+9+9</f>
        <v>91</v>
      </c>
      <c r="J168" s="52">
        <f>9+9+8+8+8+10+10+9+9+7</f>
        <v>87</v>
      </c>
      <c r="K168" s="55">
        <f>SUM(E168:J168)</f>
        <v>535</v>
      </c>
    </row>
    <row r="169" spans="1:11" x14ac:dyDescent="0.25">
      <c r="A169" s="8"/>
      <c r="B169" s="82"/>
      <c r="C169" s="3"/>
      <c r="D169" s="3"/>
      <c r="E169" s="52"/>
      <c r="F169" s="52"/>
      <c r="G169" s="52"/>
      <c r="H169" s="52"/>
      <c r="I169" s="52"/>
      <c r="J169" s="52"/>
      <c r="K169" s="55"/>
    </row>
    <row r="170" spans="1:11" ht="15.75" thickBot="1" x14ac:dyDescent="0.3">
      <c r="A170" s="8"/>
      <c r="B170" s="82"/>
      <c r="C170" s="3"/>
      <c r="D170" s="3"/>
      <c r="E170" s="3"/>
      <c r="F170" s="3"/>
      <c r="G170" s="3"/>
      <c r="H170" s="3"/>
      <c r="I170" s="3"/>
      <c r="J170" s="3"/>
      <c r="K170" s="9"/>
    </row>
    <row r="171" spans="1:11" ht="24.95" customHeight="1" thickBot="1" x14ac:dyDescent="0.3">
      <c r="A171" s="162" t="s">
        <v>105</v>
      </c>
      <c r="B171" s="163"/>
      <c r="C171" s="163"/>
      <c r="D171" s="164"/>
      <c r="E171" s="172" t="s">
        <v>88</v>
      </c>
      <c r="F171" s="172"/>
      <c r="G171" s="172"/>
      <c r="H171" s="172"/>
      <c r="I171" s="172"/>
      <c r="J171" s="172"/>
      <c r="K171" s="173"/>
    </row>
    <row r="172" spans="1:11" x14ac:dyDescent="0.25">
      <c r="A172" s="14" t="s">
        <v>0</v>
      </c>
      <c r="B172" s="86" t="s">
        <v>1</v>
      </c>
      <c r="C172" s="15" t="s">
        <v>10</v>
      </c>
      <c r="D172" s="15" t="s">
        <v>2</v>
      </c>
      <c r="E172" s="15" t="s">
        <v>3</v>
      </c>
      <c r="F172" s="15" t="s">
        <v>4</v>
      </c>
      <c r="G172" s="15" t="s">
        <v>5</v>
      </c>
      <c r="H172" s="15" t="s">
        <v>6</v>
      </c>
      <c r="I172" s="15" t="s">
        <v>7</v>
      </c>
      <c r="J172" s="15" t="s">
        <v>8</v>
      </c>
      <c r="K172" s="16" t="s">
        <v>9</v>
      </c>
    </row>
    <row r="173" spans="1:11" x14ac:dyDescent="0.25">
      <c r="A173" s="8">
        <v>1</v>
      </c>
      <c r="B173" s="82" t="s">
        <v>30</v>
      </c>
      <c r="C173" s="3" t="s">
        <v>22</v>
      </c>
      <c r="D173" s="3" t="s">
        <v>23</v>
      </c>
      <c r="E173" s="52">
        <f>10+9+9+8+8+10+9+9+8+8</f>
        <v>88</v>
      </c>
      <c r="F173" s="52">
        <f>10+9+9+8+8+10+10+9+9+7</f>
        <v>89</v>
      </c>
      <c r="G173" s="52">
        <f>10+10+10+10+8+10+10+9+9+7</f>
        <v>93</v>
      </c>
      <c r="H173" s="52">
        <f>10+10+10+8+8+10+10+9+8+7</f>
        <v>90</v>
      </c>
      <c r="I173" s="52">
        <f>10+10+9+9+9+10+10+9+8+8</f>
        <v>92</v>
      </c>
      <c r="J173" s="52">
        <f>10+10+10+10+9+10+9+9+8+8</f>
        <v>93</v>
      </c>
      <c r="K173" s="55">
        <f t="shared" ref="K173:K181" si="13">SUM(E173:J173)</f>
        <v>545</v>
      </c>
    </row>
    <row r="174" spans="1:11" x14ac:dyDescent="0.25">
      <c r="A174" s="8">
        <v>2</v>
      </c>
      <c r="B174" s="82" t="s">
        <v>50</v>
      </c>
      <c r="C174" s="3" t="s">
        <v>51</v>
      </c>
      <c r="D174" s="3" t="s">
        <v>92</v>
      </c>
      <c r="E174" s="52">
        <f>10+9+8+8+8+9+9+8+8+7</f>
        <v>84</v>
      </c>
      <c r="F174" s="52">
        <f>10+10+9+9+9+10+9+9+8+8</f>
        <v>91</v>
      </c>
      <c r="G174" s="52">
        <f>10+10+9+9+8+10+10+10+9+8</f>
        <v>93</v>
      </c>
      <c r="H174" s="52">
        <f>10+10+9+9+9+10+9+8+8+6</f>
        <v>88</v>
      </c>
      <c r="I174" s="52">
        <f>10+10+9+8+7+9+9+8+8+8</f>
        <v>86</v>
      </c>
      <c r="J174" s="52">
        <f>10+9+9+9+8+10+10+9+8+8</f>
        <v>90</v>
      </c>
      <c r="K174" s="55">
        <f t="shared" si="13"/>
        <v>532</v>
      </c>
    </row>
    <row r="175" spans="1:11" x14ac:dyDescent="0.25">
      <c r="A175" s="8">
        <v>3</v>
      </c>
      <c r="B175" s="82" t="s">
        <v>52</v>
      </c>
      <c r="C175" s="3" t="s">
        <v>51</v>
      </c>
      <c r="D175" s="3" t="s">
        <v>92</v>
      </c>
      <c r="E175" s="52">
        <f>10+9+9+9+9+9+8+8+8+5</f>
        <v>84</v>
      </c>
      <c r="F175" s="52">
        <f>10+9+8+8+7+10+9+9+8+8</f>
        <v>86</v>
      </c>
      <c r="G175" s="52">
        <f>9+9+9+8+7+10+10+9+9+8</f>
        <v>88</v>
      </c>
      <c r="H175" s="52">
        <f>10+9+9+9+8+10+10+10+10+8</f>
        <v>93</v>
      </c>
      <c r="I175" s="52">
        <f>9+9+9+9+8+10+10+9+9+8</f>
        <v>90</v>
      </c>
      <c r="J175" s="52">
        <f>10+9+8+7+7+10+9+9+8+6</f>
        <v>83</v>
      </c>
      <c r="K175" s="55">
        <f t="shared" si="13"/>
        <v>524</v>
      </c>
    </row>
    <row r="176" spans="1:11" x14ac:dyDescent="0.25">
      <c r="A176" s="8">
        <v>4</v>
      </c>
      <c r="B176" s="82" t="s">
        <v>81</v>
      </c>
      <c r="C176" s="3" t="s">
        <v>51</v>
      </c>
      <c r="D176" s="3" t="s">
        <v>79</v>
      </c>
      <c r="E176" s="52">
        <f>9+9+8+7+7+10+9+7+7+6</f>
        <v>79</v>
      </c>
      <c r="F176" s="52">
        <f>10+10+9+9+8+10+10+9+8+8</f>
        <v>91</v>
      </c>
      <c r="G176" s="52">
        <f>10+9+9+9+8+9+8+8+8+5</f>
        <v>83</v>
      </c>
      <c r="H176" s="52">
        <f>10+10+9+8+7+10+10+10+8+8</f>
        <v>90</v>
      </c>
      <c r="I176" s="52">
        <f>10+10+9+9+9+10+9+9+9+8</f>
        <v>92</v>
      </c>
      <c r="J176" s="52">
        <f>10+10+9+8+6+9+9+9+7+6</f>
        <v>83</v>
      </c>
      <c r="K176" s="55">
        <f t="shared" si="13"/>
        <v>518</v>
      </c>
    </row>
    <row r="177" spans="1:11" x14ac:dyDescent="0.25">
      <c r="A177" s="8">
        <v>5</v>
      </c>
      <c r="B177" s="82" t="s">
        <v>33</v>
      </c>
      <c r="C177" s="3" t="s">
        <v>22</v>
      </c>
      <c r="D177" s="3" t="s">
        <v>23</v>
      </c>
      <c r="E177" s="52">
        <f>10+9+8+7+5+10+10+9+9+8</f>
        <v>85</v>
      </c>
      <c r="F177" s="52">
        <f>10+9+9+9+8+10+9+9+8+5</f>
        <v>86</v>
      </c>
      <c r="G177" s="52">
        <f>9+8+8+8+6+9+9+8+8+8</f>
        <v>81</v>
      </c>
      <c r="H177" s="52">
        <f>9+8+8+8+7+10+10+10+9+8</f>
        <v>87</v>
      </c>
      <c r="I177" s="52">
        <f>10+9+8+8+7+10+9+9+9+7</f>
        <v>86</v>
      </c>
      <c r="J177" s="52">
        <f>9+9+9+7+6+10+9+9+8+6</f>
        <v>82</v>
      </c>
      <c r="K177" s="55">
        <f t="shared" si="13"/>
        <v>507</v>
      </c>
    </row>
    <row r="178" spans="1:11" x14ac:dyDescent="0.25">
      <c r="A178" s="8">
        <v>6</v>
      </c>
      <c r="B178" s="82" t="s">
        <v>86</v>
      </c>
      <c r="C178" s="3" t="s">
        <v>51</v>
      </c>
      <c r="D178" s="3" t="s">
        <v>79</v>
      </c>
      <c r="E178" s="52">
        <f>10+8+8+6+5+10+9+9+8+4</f>
        <v>77</v>
      </c>
      <c r="F178" s="52">
        <f>10+9+8+8+7+9+9+8+8+8</f>
        <v>84</v>
      </c>
      <c r="G178" s="52">
        <f>10+9+9+8+8+10+10+10+10+8</f>
        <v>92</v>
      </c>
      <c r="H178" s="52">
        <f>10+10+10+9+8+9+9+8+7+7</f>
        <v>87</v>
      </c>
      <c r="I178" s="52">
        <f>10+9+9+8+6+10+9+7+7+5</f>
        <v>80</v>
      </c>
      <c r="J178" s="52">
        <f>9+9+9+9+7+10+9+9+8+7</f>
        <v>86</v>
      </c>
      <c r="K178" s="55">
        <f t="shared" si="13"/>
        <v>506</v>
      </c>
    </row>
    <row r="179" spans="1:11" x14ac:dyDescent="0.25">
      <c r="A179" s="8">
        <v>7</v>
      </c>
      <c r="B179" s="82" t="s">
        <v>61</v>
      </c>
      <c r="C179" s="3" t="s">
        <v>57</v>
      </c>
      <c r="D179" s="3" t="s">
        <v>58</v>
      </c>
      <c r="E179" s="52">
        <f>9+8+8+8+7+10+10+9+9+0</f>
        <v>78</v>
      </c>
      <c r="F179" s="52">
        <f>10+9+9+8+7+9+9+9+7+4</f>
        <v>81</v>
      </c>
      <c r="G179" s="52">
        <f>10+9+8+6+5+9+8+7+7+2</f>
        <v>71</v>
      </c>
      <c r="H179" s="52">
        <f>10+9+8+8+8+10+8+7+7+0</f>
        <v>75</v>
      </c>
      <c r="I179" s="52">
        <f>9+9+9+8+8+10+10+9+9+8</f>
        <v>89</v>
      </c>
      <c r="J179" s="52">
        <f>10+9+9+8+8+10+10+9+7+6</f>
        <v>86</v>
      </c>
      <c r="K179" s="55">
        <f t="shared" si="13"/>
        <v>480</v>
      </c>
    </row>
    <row r="180" spans="1:11" x14ac:dyDescent="0.25">
      <c r="A180" s="8">
        <v>8</v>
      </c>
      <c r="B180" s="82" t="s">
        <v>53</v>
      </c>
      <c r="C180" s="3" t="s">
        <v>51</v>
      </c>
      <c r="D180" s="3" t="s">
        <v>92</v>
      </c>
      <c r="E180" s="52">
        <f>10+10+8+8+8+10+10+7+7+7</f>
        <v>85</v>
      </c>
      <c r="F180" s="52">
        <f>9+8+8+8+7+9+9+8+8+7</f>
        <v>81</v>
      </c>
      <c r="G180" s="52">
        <f>10+9+8+7+6+9+9+9+7+7</f>
        <v>81</v>
      </c>
      <c r="H180" s="52">
        <f>8+8+8+8+0+9+9+7+7+0</f>
        <v>64</v>
      </c>
      <c r="I180" s="52">
        <f>9+9+6+6+5+10+9+8+8+0</f>
        <v>70</v>
      </c>
      <c r="J180" s="52">
        <f>10+9+9+7+7+10+9+9+8+8</f>
        <v>86</v>
      </c>
      <c r="K180" s="55">
        <f t="shared" si="13"/>
        <v>467</v>
      </c>
    </row>
    <row r="181" spans="1:11" x14ac:dyDescent="0.25">
      <c r="A181" s="8">
        <v>9</v>
      </c>
      <c r="B181" s="82" t="s">
        <v>84</v>
      </c>
      <c r="C181" s="3" t="s">
        <v>51</v>
      </c>
      <c r="D181" s="3" t="s">
        <v>79</v>
      </c>
      <c r="E181" s="52">
        <f>9+8+8+7+6+7+6+3+2+1</f>
        <v>57</v>
      </c>
      <c r="F181" s="52">
        <f>9+8+8+5+4+10+9+5+4+0</f>
        <v>62</v>
      </c>
      <c r="G181" s="52">
        <f>7+7+6+5+5+10+9+8+7+6</f>
        <v>70</v>
      </c>
      <c r="H181" s="52">
        <f>8+0+0+0+0+1+7+7+7+0</f>
        <v>30</v>
      </c>
      <c r="I181" s="52">
        <f>8+8+8+6+0+10+9+9+9+8</f>
        <v>75</v>
      </c>
      <c r="J181" s="52">
        <f>10+8+8+0+0+7+7+7+6</f>
        <v>53</v>
      </c>
      <c r="K181" s="55">
        <f t="shared" si="13"/>
        <v>347</v>
      </c>
    </row>
    <row r="182" spans="1:11" ht="15.75" thickBot="1" x14ac:dyDescent="0.3">
      <c r="A182" s="10">
        <v>10</v>
      </c>
      <c r="B182" s="95" t="s">
        <v>32</v>
      </c>
      <c r="C182" s="11" t="s">
        <v>22</v>
      </c>
      <c r="D182" s="11" t="s">
        <v>23</v>
      </c>
      <c r="E182" s="71"/>
      <c r="F182" s="71"/>
      <c r="G182" s="71"/>
      <c r="H182" s="71"/>
      <c r="I182" s="71"/>
      <c r="J182" s="71"/>
      <c r="K182" s="55" t="s">
        <v>103</v>
      </c>
    </row>
    <row r="183" spans="1:11" ht="15.75" thickBot="1" x14ac:dyDescent="0.3">
      <c r="A183" s="21"/>
      <c r="B183" s="96"/>
      <c r="C183" s="22"/>
      <c r="D183" s="22"/>
      <c r="E183" s="22"/>
      <c r="F183" s="22"/>
      <c r="G183" s="22"/>
      <c r="H183" s="22"/>
      <c r="I183" s="22"/>
      <c r="J183" s="22"/>
      <c r="K183" s="9"/>
    </row>
    <row r="184" spans="1:11" ht="15.75" thickBot="1" x14ac:dyDescent="0.3">
      <c r="A184" s="21"/>
      <c r="B184" s="96"/>
      <c r="C184" s="22"/>
      <c r="D184" s="22"/>
      <c r="E184" s="22"/>
      <c r="F184" s="22"/>
      <c r="G184" s="22"/>
      <c r="H184" s="22"/>
      <c r="I184" s="22"/>
      <c r="J184" s="22"/>
      <c r="K184" s="9"/>
    </row>
    <row r="185" spans="1:11" ht="15.75" thickBot="1" x14ac:dyDescent="0.3">
      <c r="A185" s="21"/>
      <c r="B185" s="96"/>
      <c r="C185" s="22"/>
      <c r="D185" s="22"/>
      <c r="E185" s="22"/>
      <c r="F185" s="22"/>
      <c r="G185" s="22"/>
      <c r="H185" s="22"/>
      <c r="I185" s="22"/>
      <c r="J185" s="22"/>
      <c r="K185" s="23"/>
    </row>
    <row r="186" spans="1:11" ht="24.95" customHeight="1" thickBot="1" x14ac:dyDescent="0.3">
      <c r="A186" s="162" t="s">
        <v>105</v>
      </c>
      <c r="B186" s="163"/>
      <c r="C186" s="163"/>
      <c r="D186" s="164"/>
      <c r="E186" s="172" t="s">
        <v>87</v>
      </c>
      <c r="F186" s="172"/>
      <c r="G186" s="172"/>
      <c r="H186" s="172"/>
      <c r="I186" s="172"/>
      <c r="J186" s="172"/>
      <c r="K186" s="173"/>
    </row>
    <row r="187" spans="1:11" ht="15.75" thickBot="1" x14ac:dyDescent="0.3">
      <c r="A187" s="31" t="s">
        <v>0</v>
      </c>
      <c r="B187" s="91" t="s">
        <v>1</v>
      </c>
      <c r="C187" s="32" t="s">
        <v>10</v>
      </c>
      <c r="D187" s="32" t="s">
        <v>2</v>
      </c>
      <c r="E187" s="32" t="s">
        <v>3</v>
      </c>
      <c r="F187" s="32" t="s">
        <v>4</v>
      </c>
      <c r="G187" s="32" t="s">
        <v>5</v>
      </c>
      <c r="H187" s="32" t="s">
        <v>6</v>
      </c>
      <c r="I187" s="32" t="s">
        <v>7</v>
      </c>
      <c r="J187" s="32" t="s">
        <v>8</v>
      </c>
      <c r="K187" s="33" t="s">
        <v>9</v>
      </c>
    </row>
    <row r="188" spans="1:11" x14ac:dyDescent="0.25">
      <c r="A188" s="14">
        <v>1</v>
      </c>
      <c r="B188" s="92" t="s">
        <v>29</v>
      </c>
      <c r="C188" s="19" t="s">
        <v>22</v>
      </c>
      <c r="D188" s="19" t="s">
        <v>23</v>
      </c>
      <c r="E188" s="52">
        <f>10+9+9+9+8+10+9+9+9+8</f>
        <v>90</v>
      </c>
      <c r="F188" s="52">
        <f>10+10+9+9+9+10+10+10+9+9</f>
        <v>95</v>
      </c>
      <c r="G188" s="52">
        <f>10+9+9+9+8+10+10+9+9+8</f>
        <v>91</v>
      </c>
      <c r="H188" s="52">
        <f>10+9+9+9+8+10+10+10+9+9</f>
        <v>93</v>
      </c>
      <c r="I188" s="52">
        <f>10+10+9+9+9+10+9+9+8+8</f>
        <v>91</v>
      </c>
      <c r="J188" s="52">
        <f>10+10+10+10+10+10+10+9+9+7</f>
        <v>95</v>
      </c>
      <c r="K188" s="52">
        <f t="shared" ref="K188:K191" si="14">SUM(E188:J188)</f>
        <v>555</v>
      </c>
    </row>
    <row r="189" spans="1:11" x14ac:dyDescent="0.25">
      <c r="A189" s="17">
        <v>2</v>
      </c>
      <c r="B189" s="82" t="s">
        <v>62</v>
      </c>
      <c r="C189" s="3" t="s">
        <v>63</v>
      </c>
      <c r="D189" s="3" t="s">
        <v>64</v>
      </c>
      <c r="E189" s="52">
        <f>10+9+9+9+6+9+9+9+9+8</f>
        <v>87</v>
      </c>
      <c r="F189" s="52">
        <f>10+10+10+9+9+10+10+9+8+7</f>
        <v>92</v>
      </c>
      <c r="G189" s="52">
        <f>10+10+9+8+8+10+10+9+9+8</f>
        <v>91</v>
      </c>
      <c r="H189" s="52">
        <f>10+10+10+9+8+9+9+9+9+9</f>
        <v>92</v>
      </c>
      <c r="I189" s="52">
        <f>10+10+10+9+9+10+9+9+9+8</f>
        <v>93</v>
      </c>
      <c r="J189" s="52">
        <f>10+9+9+8+6+10+10+10+8+7</f>
        <v>87</v>
      </c>
      <c r="K189" s="52">
        <f t="shared" si="14"/>
        <v>542</v>
      </c>
    </row>
    <row r="190" spans="1:11" x14ac:dyDescent="0.25">
      <c r="A190" s="17">
        <v>3</v>
      </c>
      <c r="B190" s="82" t="s">
        <v>80</v>
      </c>
      <c r="C190" s="3" t="s">
        <v>51</v>
      </c>
      <c r="D190" s="3" t="s">
        <v>79</v>
      </c>
      <c r="E190" s="52">
        <f>10+9+9+8+7+10+10+9+8+7</f>
        <v>87</v>
      </c>
      <c r="F190" s="52">
        <f>10+10+10+9+8+10+10+10+9+8</f>
        <v>94</v>
      </c>
      <c r="G190" s="52">
        <f>10+10+9+9+9+10+10+9+9+8</f>
        <v>93</v>
      </c>
      <c r="H190" s="52">
        <f>10+9+9+9+8+9+9+9+8+7</f>
        <v>87</v>
      </c>
      <c r="I190" s="52">
        <f>10+9+9+9+5+10+10+8+8+8</f>
        <v>86</v>
      </c>
      <c r="J190" s="52">
        <f>9+9+8+8+7+9+9+9+9+9</f>
        <v>86</v>
      </c>
      <c r="K190" s="52">
        <f t="shared" si="14"/>
        <v>533</v>
      </c>
    </row>
    <row r="191" spans="1:11" x14ac:dyDescent="0.25">
      <c r="A191" s="17">
        <v>4</v>
      </c>
      <c r="B191" s="82" t="s">
        <v>82</v>
      </c>
      <c r="C191" s="3" t="s">
        <v>51</v>
      </c>
      <c r="D191" s="3" t="s">
        <v>79</v>
      </c>
      <c r="E191" s="52">
        <f>10+9+8+8+8+10+9+8+8+8</f>
        <v>86</v>
      </c>
      <c r="F191" s="52">
        <f>10+9+9+8+7+10+9+8+7+6</f>
        <v>83</v>
      </c>
      <c r="G191" s="52">
        <f>10+10+9+8+6+10+9+9+7+7</f>
        <v>85</v>
      </c>
      <c r="H191" s="52">
        <f>10+9+8+8+0+10+8+8+7+7</f>
        <v>75</v>
      </c>
      <c r="I191" s="52">
        <f>10+10+9+8+8+9+8+8+8+7</f>
        <v>85</v>
      </c>
      <c r="J191" s="52">
        <f>10+9+9+8+8+9+9+9+8+6</f>
        <v>85</v>
      </c>
      <c r="K191" s="55">
        <f t="shared" si="14"/>
        <v>499</v>
      </c>
    </row>
    <row r="192" spans="1:11" x14ac:dyDescent="0.25">
      <c r="A192" s="17">
        <v>5</v>
      </c>
      <c r="B192" s="97"/>
      <c r="C192" s="13"/>
      <c r="D192" s="13"/>
      <c r="E192" s="13"/>
      <c r="F192" s="13"/>
      <c r="G192" s="13"/>
      <c r="H192" s="13"/>
      <c r="I192" s="13"/>
      <c r="J192" s="13"/>
      <c r="K192" s="9"/>
    </row>
    <row r="193" spans="1:11" ht="15.75" thickBot="1" x14ac:dyDescent="0.3">
      <c r="A193" s="35"/>
      <c r="B193" s="98"/>
      <c r="C193" s="36"/>
      <c r="D193" s="36"/>
      <c r="E193" s="36"/>
      <c r="F193" s="36"/>
      <c r="G193" s="36"/>
      <c r="H193" s="36"/>
      <c r="I193" s="36"/>
      <c r="J193" s="36"/>
      <c r="K193" s="12"/>
    </row>
    <row r="194" spans="1:11" ht="24.95" customHeight="1" thickBot="1" x14ac:dyDescent="0.3">
      <c r="A194" s="162" t="s">
        <v>105</v>
      </c>
      <c r="B194" s="163"/>
      <c r="C194" s="163"/>
      <c r="D194" s="164"/>
      <c r="E194" s="187" t="s">
        <v>73</v>
      </c>
      <c r="F194" s="184"/>
      <c r="G194" s="184"/>
      <c r="H194" s="184"/>
      <c r="I194" s="184"/>
      <c r="J194" s="184"/>
      <c r="K194" s="185"/>
    </row>
    <row r="195" spans="1:11" ht="15.75" thickBot="1" x14ac:dyDescent="0.3">
      <c r="A195" s="37" t="s">
        <v>0</v>
      </c>
      <c r="B195" s="93" t="s">
        <v>1</v>
      </c>
      <c r="C195" s="38" t="s">
        <v>10</v>
      </c>
      <c r="D195" s="38" t="s">
        <v>2</v>
      </c>
      <c r="E195" s="38" t="s">
        <v>3</v>
      </c>
      <c r="F195" s="38" t="s">
        <v>4</v>
      </c>
      <c r="G195" s="38" t="s">
        <v>5</v>
      </c>
      <c r="H195" s="38" t="s">
        <v>6</v>
      </c>
      <c r="I195" s="38" t="s">
        <v>7</v>
      </c>
      <c r="J195" s="38" t="s">
        <v>8</v>
      </c>
      <c r="K195" s="39" t="s">
        <v>9</v>
      </c>
    </row>
    <row r="196" spans="1:11" x14ac:dyDescent="0.25">
      <c r="A196" s="18">
        <v>1</v>
      </c>
      <c r="B196" s="92" t="s">
        <v>54</v>
      </c>
      <c r="C196" s="19" t="s">
        <v>51</v>
      </c>
      <c r="D196" s="19" t="s">
        <v>55</v>
      </c>
      <c r="E196" s="49">
        <f>10+10+9+9+8+10+10+10+9+9</f>
        <v>94</v>
      </c>
      <c r="F196" s="49">
        <f>9+9+8+8+5+10+10+10+9+9</f>
        <v>87</v>
      </c>
      <c r="G196" s="49">
        <f>10+9+9+8+8+10+9+9+8+9</f>
        <v>89</v>
      </c>
      <c r="H196" s="62">
        <f>10+9+9+8+8+9+8+8+8+7</f>
        <v>84</v>
      </c>
      <c r="I196" s="62">
        <f>10+10+9+8+8+10+9+8+8+7</f>
        <v>87</v>
      </c>
      <c r="J196" s="62">
        <f>9+9+8+7+6+10+9+9+8+7</f>
        <v>82</v>
      </c>
      <c r="K196" s="63">
        <f t="shared" ref="K196:K198" si="15">SUM(E196:J196)</f>
        <v>523</v>
      </c>
    </row>
    <row r="197" spans="1:11" x14ac:dyDescent="0.25">
      <c r="A197" s="8">
        <v>2</v>
      </c>
      <c r="B197" s="82" t="s">
        <v>90</v>
      </c>
      <c r="C197" s="3" t="s">
        <v>51</v>
      </c>
      <c r="D197" s="3" t="s">
        <v>55</v>
      </c>
      <c r="E197" s="52">
        <f>10+9+9+8+8+10+10+9+9+8</f>
        <v>90</v>
      </c>
      <c r="F197" s="52">
        <f>9+9+8+7+7+10+10+10+10+8</f>
        <v>88</v>
      </c>
      <c r="G197" s="52">
        <f>10+10+9+9+8+9+8+8+8+7</f>
        <v>86</v>
      </c>
      <c r="H197" s="52">
        <f>10+9+8+8+8+9+8+7+7+6</f>
        <v>80</v>
      </c>
      <c r="I197" s="52">
        <f>9+8+8+8+7+10+10+9+8+6</f>
        <v>83</v>
      </c>
      <c r="J197" s="52">
        <f>10+10+9+8+6+9+9+8+8+7</f>
        <v>84</v>
      </c>
      <c r="K197" s="55">
        <f t="shared" si="15"/>
        <v>511</v>
      </c>
    </row>
    <row r="198" spans="1:11" x14ac:dyDescent="0.25">
      <c r="A198" s="17">
        <v>3</v>
      </c>
      <c r="B198" s="82" t="s">
        <v>25</v>
      </c>
      <c r="C198" s="3" t="s">
        <v>22</v>
      </c>
      <c r="D198" s="3" t="s">
        <v>23</v>
      </c>
      <c r="E198" s="52">
        <f>10+10+9+9+9+10+10+9+9+9</f>
        <v>94</v>
      </c>
      <c r="F198" s="52">
        <f>10+9+9+9+8+9+9+9+8+7</f>
        <v>87</v>
      </c>
      <c r="G198" s="52">
        <f>9+9+8+8+6+10+10+10+8+7</f>
        <v>85</v>
      </c>
      <c r="H198" s="52">
        <f>9+9+9+8+8+10+9+9+8+7</f>
        <v>86</v>
      </c>
      <c r="I198" s="52">
        <f>8+8+7+6+5+10+9+8+7+7</f>
        <v>75</v>
      </c>
      <c r="J198" s="52">
        <f>10+9+9+8+7+9+9+9+8+6</f>
        <v>84</v>
      </c>
      <c r="K198" s="55">
        <f t="shared" si="15"/>
        <v>511</v>
      </c>
    </row>
    <row r="199" spans="1:11" x14ac:dyDescent="0.25">
      <c r="A199" s="8">
        <v>4</v>
      </c>
      <c r="B199" s="82" t="s">
        <v>78</v>
      </c>
      <c r="C199" s="3" t="s">
        <v>51</v>
      </c>
      <c r="D199" s="3" t="s">
        <v>79</v>
      </c>
      <c r="E199" s="65"/>
      <c r="F199" s="65"/>
      <c r="G199" s="65"/>
      <c r="H199" s="65"/>
      <c r="I199" s="65"/>
      <c r="J199" s="65"/>
      <c r="K199" s="69" t="s">
        <v>103</v>
      </c>
    </row>
    <row r="200" spans="1:11" x14ac:dyDescent="0.25">
      <c r="A200" s="17">
        <v>5</v>
      </c>
      <c r="B200" s="82" t="s">
        <v>91</v>
      </c>
      <c r="C200" s="3" t="s">
        <v>51</v>
      </c>
      <c r="D200" s="3" t="s">
        <v>55</v>
      </c>
      <c r="E200" s="59"/>
      <c r="F200" s="59"/>
      <c r="G200" s="59"/>
      <c r="H200" s="59"/>
      <c r="I200" s="59"/>
      <c r="J200" s="59"/>
      <c r="K200" s="9" t="s">
        <v>103</v>
      </c>
    </row>
    <row r="201" spans="1:11" ht="15.75" thickBot="1" x14ac:dyDescent="0.3">
      <c r="A201" s="35">
        <v>6</v>
      </c>
      <c r="B201" s="95" t="s">
        <v>31</v>
      </c>
      <c r="C201" s="11" t="s">
        <v>22</v>
      </c>
      <c r="D201" s="11" t="s">
        <v>23</v>
      </c>
      <c r="E201" s="59"/>
      <c r="F201" s="59"/>
      <c r="G201" s="59"/>
      <c r="H201" s="59"/>
      <c r="I201" s="59"/>
      <c r="J201" s="59"/>
      <c r="K201" s="23" t="s">
        <v>103</v>
      </c>
    </row>
    <row r="202" spans="1:11" ht="15.75" thickBot="1" x14ac:dyDescent="0.3">
      <c r="A202" s="31"/>
      <c r="B202" s="99"/>
      <c r="C202" s="28"/>
      <c r="D202" s="28"/>
      <c r="E202" s="25"/>
      <c r="F202" s="26"/>
      <c r="G202" s="26"/>
      <c r="H202" s="26"/>
      <c r="I202" s="26"/>
      <c r="J202" s="26"/>
      <c r="K202" s="64"/>
    </row>
    <row r="203" spans="1:11" ht="20.25" thickBot="1" x14ac:dyDescent="0.3">
      <c r="A203" s="162" t="s">
        <v>105</v>
      </c>
      <c r="B203" s="163"/>
      <c r="C203" s="163"/>
      <c r="D203" s="164"/>
      <c r="E203" s="172" t="s">
        <v>72</v>
      </c>
      <c r="F203" s="172"/>
      <c r="G203" s="172"/>
      <c r="H203" s="172"/>
      <c r="I203" s="172"/>
      <c r="J203" s="172"/>
      <c r="K203" s="173"/>
    </row>
    <row r="204" spans="1:11" ht="15.75" thickBot="1" x14ac:dyDescent="0.3">
      <c r="A204" s="37" t="s">
        <v>0</v>
      </c>
      <c r="B204" s="93" t="s">
        <v>1</v>
      </c>
      <c r="C204" s="38" t="s">
        <v>10</v>
      </c>
      <c r="D204" s="38" t="s">
        <v>2</v>
      </c>
      <c r="E204" s="38" t="s">
        <v>3</v>
      </c>
      <c r="F204" s="38" t="s">
        <v>4</v>
      </c>
      <c r="G204" s="38" t="s">
        <v>5</v>
      </c>
      <c r="H204" s="38" t="s">
        <v>6</v>
      </c>
      <c r="I204" s="38" t="s">
        <v>7</v>
      </c>
      <c r="J204" s="38" t="s">
        <v>8</v>
      </c>
      <c r="K204" s="39" t="s">
        <v>9</v>
      </c>
    </row>
    <row r="205" spans="1:11" ht="15.75" thickBot="1" x14ac:dyDescent="0.3">
      <c r="A205" s="18">
        <v>1</v>
      </c>
      <c r="B205" s="92" t="s">
        <v>29</v>
      </c>
      <c r="C205" s="19" t="s">
        <v>22</v>
      </c>
      <c r="D205" s="19" t="s">
        <v>23</v>
      </c>
      <c r="E205" s="49">
        <f>10+9+9+9+8+10+10+10+9+9</f>
        <v>93</v>
      </c>
      <c r="F205" s="49">
        <f>10+9+9+9+9+10+10+9+9+9</f>
        <v>93</v>
      </c>
      <c r="G205" s="49">
        <f>10+9+9+8+8+9+9+8+8+8</f>
        <v>86</v>
      </c>
      <c r="H205" s="49">
        <f>10+10+10+9+9+9+9+9+8+7</f>
        <v>90</v>
      </c>
      <c r="I205" s="49">
        <f>10+9+8+6+6+10+9+7+7+5</f>
        <v>77</v>
      </c>
      <c r="J205" s="49">
        <f>10+10+8+8+8+8+8+8+7+6</f>
        <v>81</v>
      </c>
      <c r="K205" s="56">
        <f>SUM(E205:J205)</f>
        <v>520</v>
      </c>
    </row>
    <row r="206" spans="1:11" ht="15.75" thickBot="1" x14ac:dyDescent="0.3">
      <c r="A206" s="17">
        <v>2</v>
      </c>
      <c r="B206" s="82" t="s">
        <v>80</v>
      </c>
      <c r="C206" s="3" t="s">
        <v>51</v>
      </c>
      <c r="D206" s="3" t="s">
        <v>79</v>
      </c>
      <c r="E206" s="61">
        <f>10+9+9+8+6+10+10+10+10+8</f>
        <v>90</v>
      </c>
      <c r="F206" s="61">
        <f>10+9+9+8+7+10+10+9+9+9</f>
        <v>90</v>
      </c>
      <c r="G206" s="61">
        <f>10+9+9+9+5+9+9+9+8+7</f>
        <v>84</v>
      </c>
      <c r="H206" s="61">
        <f>9+8+7+7+2+10+10+9+8+8</f>
        <v>78</v>
      </c>
      <c r="I206" s="61">
        <f>10+10+10+10+8+10+7+7+7+4</f>
        <v>83</v>
      </c>
      <c r="J206" s="61">
        <f>10+9+8+8+5+9+9+8+7+6</f>
        <v>79</v>
      </c>
      <c r="K206" s="56">
        <f>SUM(E206:J206)</f>
        <v>504</v>
      </c>
    </row>
    <row r="207" spans="1:11" ht="15.75" thickBot="1" x14ac:dyDescent="0.3">
      <c r="A207" s="8">
        <v>3</v>
      </c>
      <c r="B207" s="82" t="s">
        <v>62</v>
      </c>
      <c r="C207" s="3" t="s">
        <v>63</v>
      </c>
      <c r="D207" s="3" t="s">
        <v>64</v>
      </c>
      <c r="E207" s="61">
        <f>10+9+9+7+7+10+10+9+9+8</f>
        <v>88</v>
      </c>
      <c r="F207" s="61">
        <f>10+10+9+9+8+10+9+9+8+7</f>
        <v>89</v>
      </c>
      <c r="G207" s="61">
        <f>10+9+9+8+8+9+9+8+8+7</f>
        <v>85</v>
      </c>
      <c r="H207" s="61">
        <f>10+9+9+9+8+10+9+9+8+6</f>
        <v>87</v>
      </c>
      <c r="I207" s="61">
        <f>9+8+8+7+2+8+8+8+7+7</f>
        <v>72</v>
      </c>
      <c r="J207" s="61">
        <f>9+9+8+8+7+9+8+8+7+7</f>
        <v>80</v>
      </c>
      <c r="K207" s="56">
        <f>SUM(E207:J207)</f>
        <v>501</v>
      </c>
    </row>
    <row r="208" spans="1:11" ht="15.75" thickBot="1" x14ac:dyDescent="0.3">
      <c r="A208" s="17">
        <v>4</v>
      </c>
      <c r="B208" s="97"/>
      <c r="C208" s="13"/>
      <c r="D208" s="13"/>
      <c r="E208" s="13"/>
      <c r="F208" s="13"/>
      <c r="G208" s="13"/>
      <c r="H208" s="13"/>
      <c r="I208" s="13"/>
      <c r="J208" s="13"/>
      <c r="K208" s="34"/>
    </row>
    <row r="209" spans="1:11" ht="15.75" thickBot="1" x14ac:dyDescent="0.3">
      <c r="A209" s="35">
        <v>5</v>
      </c>
      <c r="B209" s="98"/>
      <c r="C209" s="36"/>
      <c r="D209" s="36"/>
      <c r="E209" s="36"/>
      <c r="F209" s="36"/>
      <c r="G209" s="36"/>
      <c r="H209" s="36"/>
      <c r="I209" s="36"/>
      <c r="J209" s="36"/>
      <c r="K209" s="34"/>
    </row>
    <row r="210" spans="1:11" ht="20.25" customHeight="1" thickBot="1" x14ac:dyDescent="0.3">
      <c r="A210" s="162" t="s">
        <v>105</v>
      </c>
      <c r="B210" s="163"/>
      <c r="C210" s="163"/>
      <c r="D210" s="164"/>
      <c r="E210" s="187" t="s">
        <v>74</v>
      </c>
      <c r="F210" s="184"/>
      <c r="G210" s="184"/>
      <c r="H210" s="184"/>
      <c r="I210" s="184"/>
      <c r="J210" s="184"/>
      <c r="K210" s="185"/>
    </row>
    <row r="211" spans="1:11" ht="15.75" thickBot="1" x14ac:dyDescent="0.3">
      <c r="A211" s="37" t="s">
        <v>0</v>
      </c>
      <c r="B211" s="93" t="s">
        <v>1</v>
      </c>
      <c r="C211" s="38" t="s">
        <v>10</v>
      </c>
      <c r="D211" s="38" t="s">
        <v>2</v>
      </c>
      <c r="E211" s="38" t="s">
        <v>3</v>
      </c>
      <c r="F211" s="38" t="s">
        <v>4</v>
      </c>
      <c r="G211" s="38" t="s">
        <v>5</v>
      </c>
      <c r="H211" s="38" t="s">
        <v>6</v>
      </c>
      <c r="I211" s="38" t="s">
        <v>7</v>
      </c>
      <c r="J211" s="38" t="s">
        <v>8</v>
      </c>
      <c r="K211" s="39" t="s">
        <v>9</v>
      </c>
    </row>
    <row r="212" spans="1:11" ht="15.75" thickBot="1" x14ac:dyDescent="0.3">
      <c r="A212" s="18">
        <v>1</v>
      </c>
      <c r="B212" s="92" t="s">
        <v>34</v>
      </c>
      <c r="C212" s="19" t="s">
        <v>22</v>
      </c>
      <c r="D212" s="19" t="s">
        <v>23</v>
      </c>
      <c r="E212" s="49">
        <f>10+10+10+9+8+10+10+10+10+9</f>
        <v>96</v>
      </c>
      <c r="F212" s="49">
        <f>10+10+10+9+9+10+10+10+9+8</f>
        <v>95</v>
      </c>
      <c r="G212" s="49">
        <f>10+10+9+9+9+10+10+9+9+6</f>
        <v>91</v>
      </c>
      <c r="H212" s="49">
        <f>10+9+9+9+8+10+10+9+9+8</f>
        <v>91</v>
      </c>
      <c r="I212" s="49">
        <f>9+9+9+8+6+10+9+9+8+7</f>
        <v>84</v>
      </c>
      <c r="J212" s="49">
        <f>10+10+9+9+7+9+9+9+8+7</f>
        <v>87</v>
      </c>
      <c r="K212" s="56">
        <f t="shared" ref="K212:K213" si="16">SUM(E212:J212)</f>
        <v>544</v>
      </c>
    </row>
    <row r="213" spans="1:11" x14ac:dyDescent="0.25">
      <c r="A213" s="8">
        <v>2</v>
      </c>
      <c r="B213" s="82" t="s">
        <v>115</v>
      </c>
      <c r="C213" s="3" t="s">
        <v>22</v>
      </c>
      <c r="D213" s="3" t="s">
        <v>23</v>
      </c>
      <c r="E213" s="61">
        <f>10+10+9+9+9+9+9+9+9+9</f>
        <v>92</v>
      </c>
      <c r="F213" s="61">
        <f>10+10+9+9+8+9+9+9+9+9</f>
        <v>91</v>
      </c>
      <c r="G213" s="61">
        <f>10+10+9+8+8+10+9+9+9+8</f>
        <v>90</v>
      </c>
      <c r="H213" s="61">
        <f>10+10+10+9+9+10+10+9+9+7</f>
        <v>93</v>
      </c>
      <c r="I213" s="61">
        <f>10+10+8+6+6+10+9+9+9+7</f>
        <v>84</v>
      </c>
      <c r="J213" s="61">
        <f>10+10+9+9+6+9+9+9+9+9</f>
        <v>89</v>
      </c>
      <c r="K213" s="63">
        <f t="shared" si="16"/>
        <v>539</v>
      </c>
    </row>
    <row r="214" spans="1:11" ht="15.75" thickBot="1" x14ac:dyDescent="0.3">
      <c r="A214" s="35">
        <v>3</v>
      </c>
      <c r="B214" s="95"/>
      <c r="C214" s="11"/>
      <c r="D214" s="11"/>
      <c r="E214" s="36"/>
      <c r="F214" s="36"/>
      <c r="G214" s="36"/>
      <c r="H214" s="36"/>
      <c r="I214" s="36"/>
      <c r="J214" s="36"/>
      <c r="K214" s="12"/>
    </row>
    <row r="215" spans="1:11" ht="25.5" customHeight="1" thickBot="1" x14ac:dyDescent="0.3">
      <c r="A215" s="162" t="s">
        <v>105</v>
      </c>
      <c r="B215" s="163"/>
      <c r="C215" s="163"/>
      <c r="D215" s="164"/>
      <c r="E215" s="187" t="s">
        <v>112</v>
      </c>
      <c r="F215" s="184"/>
      <c r="G215" s="184"/>
      <c r="H215" s="184"/>
      <c r="I215" s="184"/>
      <c r="J215" s="184"/>
      <c r="K215" s="185"/>
    </row>
    <row r="216" spans="1:11" ht="15.75" thickBot="1" x14ac:dyDescent="0.3">
      <c r="A216" s="37" t="s">
        <v>0</v>
      </c>
      <c r="B216" s="93" t="s">
        <v>1</v>
      </c>
      <c r="C216" s="38" t="s">
        <v>10</v>
      </c>
      <c r="D216" s="38" t="s">
        <v>2</v>
      </c>
      <c r="E216" s="38" t="s">
        <v>3</v>
      </c>
      <c r="F216" s="38" t="s">
        <v>4</v>
      </c>
      <c r="G216" s="38" t="s">
        <v>5</v>
      </c>
      <c r="H216" s="38" t="s">
        <v>6</v>
      </c>
      <c r="I216" s="38" t="s">
        <v>7</v>
      </c>
      <c r="J216" s="38" t="s">
        <v>8</v>
      </c>
      <c r="K216" s="39" t="s">
        <v>9</v>
      </c>
    </row>
    <row r="217" spans="1:11" ht="15.75" thickBot="1" x14ac:dyDescent="0.3">
      <c r="A217" s="18">
        <v>1</v>
      </c>
      <c r="B217" s="92" t="s">
        <v>30</v>
      </c>
      <c r="C217" s="19" t="s">
        <v>22</v>
      </c>
      <c r="D217" s="19" t="s">
        <v>23</v>
      </c>
      <c r="E217" s="49">
        <f>10+9+9+9+8+10+10+9+9+7</f>
        <v>90</v>
      </c>
      <c r="F217" s="49">
        <f>10+9+9+9+8+9+9+9+8+8</f>
        <v>88</v>
      </c>
      <c r="G217" s="49">
        <f>10+9+9+8+7+10+10+9+8+8</f>
        <v>88</v>
      </c>
      <c r="H217" s="49">
        <f>10+10+9+9+8+10+9+9+9+8</f>
        <v>91</v>
      </c>
      <c r="I217" s="49">
        <f>9+9+9+8+7+10+9+8+7+6</f>
        <v>82</v>
      </c>
      <c r="J217" s="49">
        <f>9+9+9+8+8+9+9+9+9+8</f>
        <v>87</v>
      </c>
      <c r="K217" s="56">
        <f t="shared" ref="K217:K224" si="17">SUM(E217:J217)</f>
        <v>526</v>
      </c>
    </row>
    <row r="218" spans="1:11" ht="15.75" thickBot="1" x14ac:dyDescent="0.3">
      <c r="A218" s="8">
        <v>2</v>
      </c>
      <c r="B218" s="82" t="s">
        <v>50</v>
      </c>
      <c r="C218" s="3" t="s">
        <v>51</v>
      </c>
      <c r="D218" s="3" t="s">
        <v>92</v>
      </c>
      <c r="E218" s="52">
        <f>10+9+9+8+6+9+9+8+8+7</f>
        <v>83</v>
      </c>
      <c r="F218" s="52">
        <f>10+9+9+8+7+9+9+8+7+6</f>
        <v>82</v>
      </c>
      <c r="G218" s="52">
        <f>10+10+10+9+8+10+8+8+7+7</f>
        <v>87</v>
      </c>
      <c r="H218" s="52">
        <f>10+10+8+7+7+10+9+9+8+8</f>
        <v>86</v>
      </c>
      <c r="I218" s="52">
        <f>10+10+10+9+6+9+9+9+8+7</f>
        <v>87</v>
      </c>
      <c r="J218" s="52">
        <f>10+10+9+7+6+10+9+9+9+5</f>
        <v>84</v>
      </c>
      <c r="K218" s="56">
        <f t="shared" si="17"/>
        <v>509</v>
      </c>
    </row>
    <row r="219" spans="1:11" ht="15.75" thickBot="1" x14ac:dyDescent="0.3">
      <c r="A219" s="8">
        <v>3</v>
      </c>
      <c r="B219" s="82" t="s">
        <v>52</v>
      </c>
      <c r="C219" s="3" t="s">
        <v>51</v>
      </c>
      <c r="D219" s="3" t="s">
        <v>92</v>
      </c>
      <c r="E219" s="52">
        <f>9+9+8+8+7+10+10+9+9+9</f>
        <v>88</v>
      </c>
      <c r="F219" s="52">
        <f>10+10+10+9+8+10+9+8+8+5</f>
        <v>87</v>
      </c>
      <c r="G219" s="52">
        <f>10+10+9+8+7+10+9+8+8+7</f>
        <v>86</v>
      </c>
      <c r="H219" s="52">
        <f>10+10+9+9+7+10+10+8+8+7</f>
        <v>88</v>
      </c>
      <c r="I219" s="52">
        <f>10+7+6+6+5+10+9+8+8+6</f>
        <v>75</v>
      </c>
      <c r="J219" s="52">
        <f>10+9+8+8+7+10+9+9+7+4</f>
        <v>81</v>
      </c>
      <c r="K219" s="56">
        <f t="shared" si="17"/>
        <v>505</v>
      </c>
    </row>
    <row r="220" spans="1:11" ht="15.75" thickBot="1" x14ac:dyDescent="0.3">
      <c r="A220" s="17">
        <v>4</v>
      </c>
      <c r="B220" s="82" t="s">
        <v>81</v>
      </c>
      <c r="C220" s="3" t="s">
        <v>51</v>
      </c>
      <c r="D220" s="3" t="s">
        <v>79</v>
      </c>
      <c r="E220" s="52">
        <f>10+9+9+8+7+10+10+9+8+7</f>
        <v>87</v>
      </c>
      <c r="F220" s="52">
        <f>10+9+9+8+7+10+10+9+9+8</f>
        <v>89</v>
      </c>
      <c r="G220" s="52">
        <f>10+9+9+8+5+9+8+8+8+7</f>
        <v>81</v>
      </c>
      <c r="H220" s="52">
        <f>10+9+9+7+7+10+9+9+8+8</f>
        <v>86</v>
      </c>
      <c r="I220" s="52">
        <f>8+8+8+6+6+9+8+7+7+3</f>
        <v>70</v>
      </c>
      <c r="J220" s="52">
        <f>9+9+8+8+7+10+9+9+5+4</f>
        <v>78</v>
      </c>
      <c r="K220" s="56">
        <f t="shared" si="17"/>
        <v>491</v>
      </c>
    </row>
    <row r="221" spans="1:11" ht="15.75" thickBot="1" x14ac:dyDescent="0.3">
      <c r="A221" s="8">
        <v>5</v>
      </c>
      <c r="B221" s="85" t="s">
        <v>39</v>
      </c>
      <c r="C221" s="20" t="s">
        <v>36</v>
      </c>
      <c r="D221" s="20" t="s">
        <v>93</v>
      </c>
      <c r="E221" s="52">
        <f>10+9+7+7+6+10+10+9+8+8</f>
        <v>84</v>
      </c>
      <c r="F221" s="52">
        <f>9+8+8+7+6+9+9+8+8+7</f>
        <v>79</v>
      </c>
      <c r="G221" s="52">
        <f>10+9+9+7+7+9+9+9+9+8</f>
        <v>86</v>
      </c>
      <c r="H221" s="52">
        <f>9+9+8+8+7+10+8+8+7+5</f>
        <v>79</v>
      </c>
      <c r="I221" s="52">
        <f>10+6+6+5+5+10+9+8+8+8</f>
        <v>75</v>
      </c>
      <c r="J221" s="52">
        <f>9+9+9+9+7+9+6+5+4+2</f>
        <v>69</v>
      </c>
      <c r="K221" s="56">
        <f t="shared" si="17"/>
        <v>472</v>
      </c>
    </row>
    <row r="222" spans="1:11" ht="15.75" thickBot="1" x14ac:dyDescent="0.3">
      <c r="A222" s="17">
        <v>6</v>
      </c>
      <c r="B222" s="82" t="s">
        <v>53</v>
      </c>
      <c r="C222" s="3" t="s">
        <v>51</v>
      </c>
      <c r="D222" s="3" t="s">
        <v>92</v>
      </c>
      <c r="E222" s="52">
        <f>8+7+7+6+6+9+9+7+7+6</f>
        <v>72</v>
      </c>
      <c r="F222" s="52">
        <f>10+9+9+8+7+10+10+9+9+8</f>
        <v>89</v>
      </c>
      <c r="G222" s="52">
        <f>10+8+7+6+5+10+8+7+7+6</f>
        <v>74</v>
      </c>
      <c r="H222" s="52">
        <f>9+8+6+4+4+9+7+7+6+5</f>
        <v>65</v>
      </c>
      <c r="I222" s="52">
        <f>7+7+5+5+2+10+8+7+6+4</f>
        <v>61</v>
      </c>
      <c r="J222" s="52">
        <f>10+9+8+6+5+10+8+7+6+5</f>
        <v>74</v>
      </c>
      <c r="K222" s="56">
        <f t="shared" si="17"/>
        <v>435</v>
      </c>
    </row>
    <row r="223" spans="1:11" ht="15.75" thickBot="1" x14ac:dyDescent="0.3">
      <c r="A223" s="17">
        <v>7</v>
      </c>
      <c r="B223" s="82" t="s">
        <v>61</v>
      </c>
      <c r="C223" s="3" t="s">
        <v>57</v>
      </c>
      <c r="D223" s="3" t="s">
        <v>58</v>
      </c>
      <c r="E223" s="52">
        <f>9+7+7+7+5+9+8+6+6+5</f>
        <v>69</v>
      </c>
      <c r="F223" s="52">
        <f>9+8+7+6+4+9+8+7+4+2</f>
        <v>64</v>
      </c>
      <c r="G223" s="52">
        <f>10+10+8+7+7+10+10+9+7+6</f>
        <v>84</v>
      </c>
      <c r="H223" s="52">
        <f>8+8+8+8+5+9+9+8+8+7</f>
        <v>78</v>
      </c>
      <c r="I223" s="52">
        <f>9+9+7+5+4+10+10+8+6+3</f>
        <v>71</v>
      </c>
      <c r="J223" s="52">
        <f>10+7+6+5+3+9+8+6+6+5</f>
        <v>65</v>
      </c>
      <c r="K223" s="56">
        <f t="shared" si="17"/>
        <v>431</v>
      </c>
    </row>
    <row r="224" spans="1:11" ht="15.75" thickBot="1" x14ac:dyDescent="0.3">
      <c r="A224" s="17">
        <v>8</v>
      </c>
      <c r="B224" s="82" t="s">
        <v>84</v>
      </c>
      <c r="C224" s="3" t="s">
        <v>51</v>
      </c>
      <c r="D224" s="3" t="s">
        <v>79</v>
      </c>
      <c r="E224" s="61">
        <f>8+8+7+5+5+9+9+8+5+3</f>
        <v>67</v>
      </c>
      <c r="F224" s="61">
        <f>10+9+9+8+6+10+9+8+8+6</f>
        <v>83</v>
      </c>
      <c r="G224" s="61">
        <f>9+8+6+4+0+9+9+5+5+4</f>
        <v>59</v>
      </c>
      <c r="H224" s="61">
        <f>9+9+7+7+6+10+9+9+6+6</f>
        <v>78</v>
      </c>
      <c r="I224" s="13">
        <f>8+8+8+6+3+9+9+8+6+0</f>
        <v>65</v>
      </c>
      <c r="J224" s="61">
        <f>10+9+8+6+4+8+8+7+3+0</f>
        <v>63</v>
      </c>
      <c r="K224" s="56">
        <f t="shared" si="17"/>
        <v>415</v>
      </c>
    </row>
    <row r="225" spans="1:11" ht="15.75" thickBot="1" x14ac:dyDescent="0.3">
      <c r="A225" s="10">
        <v>9</v>
      </c>
      <c r="B225" s="95" t="s">
        <v>32</v>
      </c>
      <c r="C225" s="11" t="s">
        <v>22</v>
      </c>
      <c r="D225" s="11" t="s">
        <v>23</v>
      </c>
      <c r="E225" s="76"/>
      <c r="F225" s="76"/>
      <c r="G225" s="76"/>
      <c r="H225" s="76"/>
      <c r="I225" s="77"/>
      <c r="J225" s="76"/>
      <c r="K225" s="78" t="s">
        <v>103</v>
      </c>
    </row>
    <row r="228" spans="1:11" ht="30" customHeight="1" x14ac:dyDescent="0.25">
      <c r="B228" s="186" t="s">
        <v>117</v>
      </c>
      <c r="C228" s="186"/>
      <c r="D228" s="186"/>
      <c r="E228" s="186"/>
      <c r="F228" s="186"/>
      <c r="G228" s="186"/>
      <c r="H228" s="186"/>
      <c r="I228" s="186"/>
      <c r="J228" s="186"/>
      <c r="K228" s="186"/>
    </row>
    <row r="229" spans="1:11" ht="15.75" thickBot="1" x14ac:dyDescent="0.3"/>
    <row r="230" spans="1:11" ht="24.75" customHeight="1" thickBot="1" x14ac:dyDescent="0.3">
      <c r="A230" s="162" t="s">
        <v>105</v>
      </c>
      <c r="B230" s="184"/>
      <c r="C230" s="184"/>
      <c r="D230" s="184"/>
      <c r="E230" s="183" t="s">
        <v>130</v>
      </c>
      <c r="F230" s="184"/>
      <c r="G230" s="184"/>
      <c r="H230" s="184"/>
      <c r="I230" s="184"/>
      <c r="J230" s="184"/>
      <c r="K230" s="185"/>
    </row>
    <row r="231" spans="1:11" ht="15" customHeight="1" thickBot="1" x14ac:dyDescent="0.3">
      <c r="A231" s="110"/>
      <c r="B231" s="101" t="s">
        <v>34</v>
      </c>
      <c r="C231" s="15"/>
      <c r="D231" s="15"/>
      <c r="E231" s="115">
        <v>89</v>
      </c>
      <c r="F231" s="115">
        <v>93</v>
      </c>
      <c r="G231" s="115">
        <v>94</v>
      </c>
      <c r="H231" s="115">
        <v>94</v>
      </c>
      <c r="I231" s="115"/>
      <c r="J231" s="115"/>
      <c r="K231" s="116">
        <f t="shared" ref="K231:K233" si="18">SUM(E231:J231)</f>
        <v>370</v>
      </c>
    </row>
    <row r="232" spans="1:11" ht="15" customHeight="1" thickBot="1" x14ac:dyDescent="0.3">
      <c r="A232" s="111" t="s">
        <v>119</v>
      </c>
      <c r="B232" s="106" t="s">
        <v>124</v>
      </c>
      <c r="C232" s="13" t="s">
        <v>22</v>
      </c>
      <c r="D232" s="13" t="s">
        <v>113</v>
      </c>
      <c r="E232" s="117">
        <v>85</v>
      </c>
      <c r="F232" s="117">
        <v>93</v>
      </c>
      <c r="G232" s="117">
        <v>92</v>
      </c>
      <c r="H232" s="117">
        <v>89</v>
      </c>
      <c r="I232" s="117"/>
      <c r="J232" s="117"/>
      <c r="K232" s="116">
        <f t="shared" si="18"/>
        <v>359</v>
      </c>
    </row>
    <row r="233" spans="1:11" ht="15" customHeight="1" x14ac:dyDescent="0.25">
      <c r="A233" s="112"/>
      <c r="B233" s="102" t="s">
        <v>27</v>
      </c>
      <c r="C233" s="13"/>
      <c r="D233" s="13"/>
      <c r="E233" s="117">
        <v>95</v>
      </c>
      <c r="F233" s="117">
        <v>94</v>
      </c>
      <c r="G233" s="117">
        <v>91</v>
      </c>
      <c r="H233" s="117">
        <v>92</v>
      </c>
      <c r="I233" s="117"/>
      <c r="J233" s="117"/>
      <c r="K233" s="116">
        <f t="shared" si="18"/>
        <v>372</v>
      </c>
    </row>
    <row r="234" spans="1:11" ht="15" customHeight="1" thickBot="1" x14ac:dyDescent="0.3">
      <c r="A234" s="113"/>
      <c r="B234" s="103"/>
      <c r="C234" s="36"/>
      <c r="D234" s="36"/>
      <c r="E234" s="118"/>
      <c r="F234" s="118"/>
      <c r="G234" s="118"/>
      <c r="H234" s="118"/>
      <c r="I234" s="118"/>
      <c r="J234" s="118"/>
      <c r="K234" s="119">
        <f>SUM(K231:K233)</f>
        <v>1101</v>
      </c>
    </row>
    <row r="235" spans="1:11" x14ac:dyDescent="0.25">
      <c r="A235" s="107"/>
      <c r="B235" s="101" t="s">
        <v>25</v>
      </c>
      <c r="C235" s="13"/>
      <c r="D235" s="13"/>
      <c r="E235" s="117">
        <v>93</v>
      </c>
      <c r="F235" s="117">
        <v>92</v>
      </c>
      <c r="G235" s="117">
        <v>90</v>
      </c>
      <c r="H235" s="117">
        <v>90</v>
      </c>
      <c r="I235" s="117"/>
      <c r="J235" s="117"/>
      <c r="K235" s="120">
        <f>SUM(E235:J235)</f>
        <v>365</v>
      </c>
    </row>
    <row r="236" spans="1:11" x14ac:dyDescent="0.25">
      <c r="A236" s="107" t="s">
        <v>121</v>
      </c>
      <c r="B236" s="102" t="s">
        <v>115</v>
      </c>
      <c r="C236" s="13" t="s">
        <v>22</v>
      </c>
      <c r="D236" s="13" t="s">
        <v>114</v>
      </c>
      <c r="E236" s="117">
        <v>91</v>
      </c>
      <c r="F236" s="117">
        <v>90</v>
      </c>
      <c r="G236" s="117">
        <v>90</v>
      </c>
      <c r="H236" s="117">
        <v>88</v>
      </c>
      <c r="I236" s="117"/>
      <c r="J236" s="117"/>
      <c r="K236" s="120">
        <f t="shared" ref="K236:K252" si="19">SUM(E236:J236)</f>
        <v>359</v>
      </c>
    </row>
    <row r="237" spans="1:11" x14ac:dyDescent="0.25">
      <c r="A237" s="107"/>
      <c r="B237" s="102" t="s">
        <v>33</v>
      </c>
      <c r="C237" s="13"/>
      <c r="D237" s="13"/>
      <c r="E237" s="117">
        <v>84</v>
      </c>
      <c r="F237" s="117">
        <v>92</v>
      </c>
      <c r="G237" s="117">
        <v>90</v>
      </c>
      <c r="H237" s="117">
        <v>93</v>
      </c>
      <c r="I237" s="117"/>
      <c r="J237" s="117"/>
      <c r="K237" s="120">
        <f t="shared" si="19"/>
        <v>359</v>
      </c>
    </row>
    <row r="238" spans="1:11" ht="15.75" thickBot="1" x14ac:dyDescent="0.3">
      <c r="A238" s="108"/>
      <c r="B238" s="103"/>
      <c r="C238" s="36"/>
      <c r="D238" s="36"/>
      <c r="E238" s="118"/>
      <c r="F238" s="118"/>
      <c r="G238" s="118"/>
      <c r="H238" s="118"/>
      <c r="I238" s="118"/>
      <c r="J238" s="118"/>
      <c r="K238" s="119">
        <f>SUM(K235:K237)</f>
        <v>1083</v>
      </c>
    </row>
    <row r="239" spans="1:11" x14ac:dyDescent="0.25">
      <c r="A239" s="107"/>
      <c r="B239" s="101" t="s">
        <v>77</v>
      </c>
      <c r="C239" s="13"/>
      <c r="D239" s="13"/>
      <c r="E239" s="117">
        <v>92</v>
      </c>
      <c r="F239" s="117">
        <v>93</v>
      </c>
      <c r="G239" s="117">
        <v>92</v>
      </c>
      <c r="H239" s="117">
        <v>91</v>
      </c>
      <c r="I239" s="117"/>
      <c r="J239" s="117"/>
      <c r="K239" s="120">
        <f t="shared" si="19"/>
        <v>368</v>
      </c>
    </row>
    <row r="240" spans="1:11" x14ac:dyDescent="0.25">
      <c r="A240" s="107" t="s">
        <v>123</v>
      </c>
      <c r="B240" s="102" t="s">
        <v>60</v>
      </c>
      <c r="C240" s="13" t="s">
        <v>57</v>
      </c>
      <c r="D240" s="13" t="s">
        <v>120</v>
      </c>
      <c r="E240" s="117">
        <v>86</v>
      </c>
      <c r="F240" s="117">
        <v>89</v>
      </c>
      <c r="G240" s="117">
        <v>87</v>
      </c>
      <c r="H240" s="117">
        <v>89</v>
      </c>
      <c r="I240" s="117"/>
      <c r="J240" s="117"/>
      <c r="K240" s="120">
        <f t="shared" si="19"/>
        <v>351</v>
      </c>
    </row>
    <row r="241" spans="1:11" x14ac:dyDescent="0.25">
      <c r="A241" s="107"/>
      <c r="B241" s="102" t="s">
        <v>56</v>
      </c>
      <c r="C241" s="13"/>
      <c r="D241" s="13"/>
      <c r="E241" s="117">
        <v>82</v>
      </c>
      <c r="F241" s="117">
        <v>85</v>
      </c>
      <c r="G241" s="117">
        <v>82</v>
      </c>
      <c r="H241" s="117">
        <v>87</v>
      </c>
      <c r="I241" s="117"/>
      <c r="J241" s="117"/>
      <c r="K241" s="120">
        <f t="shared" si="19"/>
        <v>336</v>
      </c>
    </row>
    <row r="242" spans="1:11" ht="15.75" thickBot="1" x14ac:dyDescent="0.3">
      <c r="A242" s="108"/>
      <c r="B242" s="103"/>
      <c r="C242" s="36"/>
      <c r="D242" s="36"/>
      <c r="E242" s="118"/>
      <c r="F242" s="118"/>
      <c r="G242" s="118"/>
      <c r="H242" s="118"/>
      <c r="I242" s="118"/>
      <c r="J242" s="118"/>
      <c r="K242" s="119">
        <f>SUM(K239:K241)</f>
        <v>1055</v>
      </c>
    </row>
    <row r="243" spans="1:11" x14ac:dyDescent="0.25">
      <c r="A243" s="109"/>
      <c r="B243" s="101" t="s">
        <v>52</v>
      </c>
      <c r="C243" s="15"/>
      <c r="D243" s="15"/>
      <c r="E243" s="115">
        <v>84</v>
      </c>
      <c r="F243" s="115">
        <v>88</v>
      </c>
      <c r="G243" s="115">
        <v>88</v>
      </c>
      <c r="H243" s="115">
        <v>87</v>
      </c>
      <c r="I243" s="115"/>
      <c r="J243" s="115"/>
      <c r="K243" s="116">
        <f t="shared" si="19"/>
        <v>347</v>
      </c>
    </row>
    <row r="244" spans="1:11" x14ac:dyDescent="0.25">
      <c r="A244" s="107" t="s">
        <v>125</v>
      </c>
      <c r="B244" s="102" t="s">
        <v>50</v>
      </c>
      <c r="C244" s="13" t="s">
        <v>51</v>
      </c>
      <c r="D244" s="13" t="s">
        <v>122</v>
      </c>
      <c r="E244" s="117">
        <v>89</v>
      </c>
      <c r="F244" s="117">
        <v>85</v>
      </c>
      <c r="G244" s="117">
        <v>84</v>
      </c>
      <c r="H244" s="117">
        <v>84</v>
      </c>
      <c r="I244" s="117"/>
      <c r="J244" s="117"/>
      <c r="K244" s="120">
        <f t="shared" si="19"/>
        <v>342</v>
      </c>
    </row>
    <row r="245" spans="1:11" x14ac:dyDescent="0.25">
      <c r="A245" s="107"/>
      <c r="B245" s="102" t="s">
        <v>53</v>
      </c>
      <c r="C245" s="13"/>
      <c r="D245" s="13"/>
      <c r="E245" s="117">
        <v>84</v>
      </c>
      <c r="F245" s="117">
        <v>86</v>
      </c>
      <c r="G245" s="117">
        <v>86</v>
      </c>
      <c r="H245" s="117">
        <v>79</v>
      </c>
      <c r="I245" s="117"/>
      <c r="J245" s="117"/>
      <c r="K245" s="120">
        <f t="shared" si="19"/>
        <v>335</v>
      </c>
    </row>
    <row r="246" spans="1:11" ht="15.75" thickBot="1" x14ac:dyDescent="0.3">
      <c r="A246" s="108"/>
      <c r="B246" s="103"/>
      <c r="C246" s="36"/>
      <c r="D246" s="36"/>
      <c r="E246" s="118"/>
      <c r="F246" s="118"/>
      <c r="G246" s="118"/>
      <c r="H246" s="118"/>
      <c r="I246" s="118"/>
      <c r="J246" s="118"/>
      <c r="K246" s="119">
        <f>SUM(K243:K245)</f>
        <v>1024</v>
      </c>
    </row>
    <row r="247" spans="1:11" x14ac:dyDescent="0.25">
      <c r="A247" s="109"/>
      <c r="B247" s="101" t="s">
        <v>80</v>
      </c>
      <c r="C247" s="15"/>
      <c r="D247" s="15"/>
      <c r="E247" s="115">
        <v>88</v>
      </c>
      <c r="F247" s="115">
        <v>88</v>
      </c>
      <c r="G247" s="115">
        <v>85</v>
      </c>
      <c r="H247" s="115">
        <v>86</v>
      </c>
      <c r="I247" s="115"/>
      <c r="J247" s="115"/>
      <c r="K247" s="116">
        <f t="shared" si="19"/>
        <v>347</v>
      </c>
    </row>
    <row r="248" spans="1:11" x14ac:dyDescent="0.25">
      <c r="A248" s="107" t="s">
        <v>126</v>
      </c>
      <c r="B248" s="102" t="s">
        <v>81</v>
      </c>
      <c r="C248" s="13" t="s">
        <v>51</v>
      </c>
      <c r="D248" s="13" t="s">
        <v>116</v>
      </c>
      <c r="E248" s="117">
        <v>86</v>
      </c>
      <c r="F248" s="117">
        <v>88</v>
      </c>
      <c r="G248" s="117">
        <v>81</v>
      </c>
      <c r="H248" s="117">
        <v>82</v>
      </c>
      <c r="I248" s="117"/>
      <c r="J248" s="117"/>
      <c r="K248" s="120">
        <f t="shared" si="19"/>
        <v>337</v>
      </c>
    </row>
    <row r="249" spans="1:11" x14ac:dyDescent="0.25">
      <c r="A249" s="107"/>
      <c r="B249" s="105" t="s">
        <v>82</v>
      </c>
      <c r="C249" s="104"/>
      <c r="D249" s="13"/>
      <c r="E249" s="117">
        <v>81</v>
      </c>
      <c r="F249" s="117">
        <v>88</v>
      </c>
      <c r="G249" s="117">
        <v>88</v>
      </c>
      <c r="H249" s="117">
        <v>80</v>
      </c>
      <c r="I249" s="117"/>
      <c r="J249" s="117"/>
      <c r="K249" s="120">
        <f t="shared" si="19"/>
        <v>337</v>
      </c>
    </row>
    <row r="250" spans="1:11" ht="15.75" thickBot="1" x14ac:dyDescent="0.3">
      <c r="A250" s="108"/>
      <c r="B250" s="103"/>
      <c r="C250" s="36"/>
      <c r="D250" s="36"/>
      <c r="E250" s="118"/>
      <c r="F250" s="118"/>
      <c r="G250" s="118"/>
      <c r="H250" s="118"/>
      <c r="I250" s="118"/>
      <c r="J250" s="118"/>
      <c r="K250" s="119">
        <f>SUM(K247:K249)</f>
        <v>1021</v>
      </c>
    </row>
    <row r="251" spans="1:11" ht="15.75" thickBot="1" x14ac:dyDescent="0.3">
      <c r="A251" s="109"/>
      <c r="B251" s="101" t="s">
        <v>38</v>
      </c>
      <c r="C251" s="15"/>
      <c r="D251" s="15"/>
      <c r="E251" s="115">
        <v>88</v>
      </c>
      <c r="F251" s="115">
        <v>87</v>
      </c>
      <c r="G251" s="115">
        <v>85</v>
      </c>
      <c r="H251" s="115">
        <v>87</v>
      </c>
      <c r="I251" s="115"/>
      <c r="J251" s="115"/>
      <c r="K251" s="116">
        <f t="shared" si="19"/>
        <v>347</v>
      </c>
    </row>
    <row r="252" spans="1:11" ht="15.75" thickBot="1" x14ac:dyDescent="0.3">
      <c r="A252" s="107" t="s">
        <v>127</v>
      </c>
      <c r="B252" s="102" t="s">
        <v>39</v>
      </c>
      <c r="C252" s="13" t="s">
        <v>36</v>
      </c>
      <c r="D252" s="13" t="s">
        <v>37</v>
      </c>
      <c r="E252" s="117">
        <v>82</v>
      </c>
      <c r="F252" s="117">
        <v>81</v>
      </c>
      <c r="G252" s="117">
        <v>90</v>
      </c>
      <c r="H252" s="117">
        <v>77</v>
      </c>
      <c r="I252" s="117"/>
      <c r="J252" s="117"/>
      <c r="K252" s="116">
        <f t="shared" si="19"/>
        <v>330</v>
      </c>
    </row>
    <row r="253" spans="1:11" x14ac:dyDescent="0.25">
      <c r="A253" s="107"/>
      <c r="B253" s="106" t="s">
        <v>111</v>
      </c>
      <c r="C253" s="13"/>
      <c r="D253" s="13"/>
      <c r="E253" s="121"/>
      <c r="F253" s="121"/>
      <c r="G253" s="121"/>
      <c r="H253" s="121"/>
      <c r="I253" s="117"/>
      <c r="J253" s="117"/>
      <c r="K253" s="122" t="s">
        <v>103</v>
      </c>
    </row>
    <row r="254" spans="1:11" ht="15.75" thickBot="1" x14ac:dyDescent="0.3">
      <c r="A254" s="80"/>
      <c r="B254" s="103"/>
      <c r="C254" s="36"/>
      <c r="D254" s="36"/>
      <c r="E254" s="118"/>
      <c r="F254" s="118"/>
      <c r="G254" s="118"/>
      <c r="H254" s="118"/>
      <c r="I254" s="118"/>
      <c r="J254" s="118"/>
      <c r="K254" s="119">
        <f>SUM(K251:K253)</f>
        <v>677</v>
      </c>
    </row>
    <row r="255" spans="1:11" x14ac:dyDescent="0.25">
      <c r="B255" s="81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15.75" thickBot="1" x14ac:dyDescent="0.3">
      <c r="B256" s="97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ht="20.25" thickBot="1" x14ac:dyDescent="0.3">
      <c r="A257" s="162" t="s">
        <v>105</v>
      </c>
      <c r="B257" s="184"/>
      <c r="C257" s="184"/>
      <c r="D257" s="184"/>
      <c r="E257" s="183" t="s">
        <v>131</v>
      </c>
      <c r="F257" s="184"/>
      <c r="G257" s="184"/>
      <c r="H257" s="184"/>
      <c r="I257" s="184"/>
      <c r="J257" s="184"/>
      <c r="K257" s="185"/>
    </row>
    <row r="258" spans="1:11" ht="20.25" thickBot="1" x14ac:dyDescent="0.3">
      <c r="A258" s="110"/>
      <c r="B258" s="101" t="s">
        <v>42</v>
      </c>
      <c r="C258" s="15"/>
      <c r="D258" s="15"/>
      <c r="E258" s="115">
        <v>99.8</v>
      </c>
      <c r="F258" s="115">
        <v>101.2</v>
      </c>
      <c r="G258" s="115">
        <v>100.6</v>
      </c>
      <c r="H258" s="115">
        <v>100.9</v>
      </c>
      <c r="I258" s="115"/>
      <c r="J258" s="115"/>
      <c r="K258" s="116">
        <f t="shared" ref="K258:K260" si="20">SUM(E258:J258)</f>
        <v>402.5</v>
      </c>
    </row>
    <row r="259" spans="1:11" ht="15.75" thickBot="1" x14ac:dyDescent="0.3">
      <c r="A259" s="111" t="s">
        <v>119</v>
      </c>
      <c r="B259" s="106" t="s">
        <v>40</v>
      </c>
      <c r="C259" s="13" t="s">
        <v>36</v>
      </c>
      <c r="D259" s="13" t="s">
        <v>128</v>
      </c>
      <c r="E259" s="117">
        <v>99.3</v>
      </c>
      <c r="F259" s="117">
        <v>98.6</v>
      </c>
      <c r="G259" s="117">
        <v>99.8</v>
      </c>
      <c r="H259" s="117">
        <v>98.2</v>
      </c>
      <c r="I259" s="117"/>
      <c r="J259" s="117"/>
      <c r="K259" s="116">
        <f t="shared" si="20"/>
        <v>395.9</v>
      </c>
    </row>
    <row r="260" spans="1:11" ht="19.5" x14ac:dyDescent="0.25">
      <c r="A260" s="112"/>
      <c r="B260" s="106" t="s">
        <v>45</v>
      </c>
      <c r="C260" s="13"/>
      <c r="D260" s="13"/>
      <c r="E260" s="117">
        <v>80.099999999999994</v>
      </c>
      <c r="F260" s="117">
        <v>82.8</v>
      </c>
      <c r="G260" s="117">
        <v>87.8</v>
      </c>
      <c r="H260" s="117">
        <v>91.7</v>
      </c>
      <c r="I260" s="117"/>
      <c r="J260" s="117"/>
      <c r="K260" s="116">
        <f t="shared" si="20"/>
        <v>342.4</v>
      </c>
    </row>
    <row r="261" spans="1:11" ht="20.25" thickBot="1" x14ac:dyDescent="0.3">
      <c r="A261" s="113"/>
      <c r="B261" s="103"/>
      <c r="C261" s="36"/>
      <c r="D261" s="36"/>
      <c r="E261" s="118"/>
      <c r="F261" s="118"/>
      <c r="G261" s="118"/>
      <c r="H261" s="118"/>
      <c r="I261" s="118"/>
      <c r="J261" s="118"/>
      <c r="K261" s="119">
        <f>SUM(K258:K260)</f>
        <v>1140.8</v>
      </c>
    </row>
    <row r="262" spans="1:11" x14ac:dyDescent="0.25">
      <c r="A262" s="107"/>
      <c r="B262" s="101" t="s">
        <v>70</v>
      </c>
      <c r="C262" s="13"/>
      <c r="D262" s="13"/>
      <c r="E262" s="117">
        <v>94.2</v>
      </c>
      <c r="F262" s="117">
        <v>97.2</v>
      </c>
      <c r="G262" s="117">
        <v>97.9</v>
      </c>
      <c r="H262" s="117">
        <v>97.8</v>
      </c>
      <c r="I262" s="117"/>
      <c r="J262" s="117"/>
      <c r="K262" s="120">
        <f>SUM(E262:J262)</f>
        <v>387.1</v>
      </c>
    </row>
    <row r="263" spans="1:11" x14ac:dyDescent="0.25">
      <c r="A263" s="107" t="s">
        <v>121</v>
      </c>
      <c r="B263" s="102" t="s">
        <v>69</v>
      </c>
      <c r="C263" s="13" t="s">
        <v>22</v>
      </c>
      <c r="D263" s="13" t="s">
        <v>114</v>
      </c>
      <c r="E263" s="117">
        <v>89.5</v>
      </c>
      <c r="F263" s="117">
        <v>95.9</v>
      </c>
      <c r="G263" s="117">
        <v>92.9</v>
      </c>
      <c r="H263" s="117">
        <v>96.5</v>
      </c>
      <c r="I263" s="117"/>
      <c r="J263" s="117"/>
      <c r="K263" s="120">
        <f t="shared" ref="K263:K264" si="21">SUM(E263:J263)</f>
        <v>374.8</v>
      </c>
    </row>
    <row r="264" spans="1:11" x14ac:dyDescent="0.25">
      <c r="A264" s="107"/>
      <c r="B264" s="102" t="s">
        <v>71</v>
      </c>
      <c r="C264" s="13"/>
      <c r="D264" s="13"/>
      <c r="E264" s="117">
        <v>86.9</v>
      </c>
      <c r="F264" s="117">
        <v>79.8</v>
      </c>
      <c r="G264" s="117">
        <v>86.7</v>
      </c>
      <c r="H264" s="117">
        <v>92.1</v>
      </c>
      <c r="I264" s="117"/>
      <c r="J264" s="117"/>
      <c r="K264" s="120">
        <f t="shared" si="21"/>
        <v>345.5</v>
      </c>
    </row>
    <row r="265" spans="1:11" ht="15.75" thickBot="1" x14ac:dyDescent="0.3">
      <c r="A265" s="108"/>
      <c r="B265" s="103"/>
      <c r="C265" s="36"/>
      <c r="D265" s="36"/>
      <c r="E265" s="118"/>
      <c r="F265" s="118"/>
      <c r="G265" s="118"/>
      <c r="H265" s="118"/>
      <c r="I265" s="118"/>
      <c r="J265" s="118"/>
      <c r="K265" s="119">
        <f>SUM(K262:K264)</f>
        <v>1107.4000000000001</v>
      </c>
    </row>
    <row r="266" spans="1:11" x14ac:dyDescent="0.25">
      <c r="A266" s="107"/>
      <c r="B266" s="101" t="s">
        <v>47</v>
      </c>
      <c r="C266" s="13"/>
      <c r="D266" s="13"/>
      <c r="E266" s="117">
        <v>84.2</v>
      </c>
      <c r="F266" s="117">
        <v>95.1</v>
      </c>
      <c r="G266" s="117">
        <v>96.2</v>
      </c>
      <c r="H266" s="117">
        <v>96.5</v>
      </c>
      <c r="I266" s="117"/>
      <c r="J266" s="117"/>
      <c r="K266" s="120">
        <f t="shared" ref="K266:K268" si="22">SUM(E266:J266)</f>
        <v>372</v>
      </c>
    </row>
    <row r="267" spans="1:11" x14ac:dyDescent="0.25">
      <c r="A267" s="107" t="s">
        <v>123</v>
      </c>
      <c r="B267" s="102" t="s">
        <v>49</v>
      </c>
      <c r="C267" s="13" t="s">
        <v>36</v>
      </c>
      <c r="D267" s="13" t="s">
        <v>129</v>
      </c>
      <c r="E267" s="117">
        <v>86.3</v>
      </c>
      <c r="F267" s="117">
        <v>89.6</v>
      </c>
      <c r="G267" s="117">
        <v>97.3</v>
      </c>
      <c r="H267" s="117">
        <v>88.7</v>
      </c>
      <c r="I267" s="117"/>
      <c r="J267" s="117"/>
      <c r="K267" s="120">
        <f t="shared" si="22"/>
        <v>361.9</v>
      </c>
    </row>
    <row r="268" spans="1:11" x14ac:dyDescent="0.25">
      <c r="A268" s="107"/>
      <c r="B268" s="102"/>
      <c r="C268" s="13"/>
      <c r="D268" s="13"/>
      <c r="E268" s="117">
        <v>0</v>
      </c>
      <c r="F268" s="117">
        <v>0</v>
      </c>
      <c r="G268" s="117">
        <v>0</v>
      </c>
      <c r="H268" s="117">
        <v>0</v>
      </c>
      <c r="I268" s="117"/>
      <c r="J268" s="117"/>
      <c r="K268" s="120">
        <f t="shared" si="22"/>
        <v>0</v>
      </c>
    </row>
    <row r="269" spans="1:11" ht="15.75" thickBot="1" x14ac:dyDescent="0.3">
      <c r="A269" s="108"/>
      <c r="B269" s="103"/>
      <c r="C269" s="36"/>
      <c r="D269" s="36"/>
      <c r="E269" s="118"/>
      <c r="F269" s="118"/>
      <c r="G269" s="118"/>
      <c r="H269" s="118"/>
      <c r="I269" s="118"/>
      <c r="J269" s="118"/>
      <c r="K269" s="119">
        <f>SUM(K266:K268)</f>
        <v>733.9</v>
      </c>
    </row>
    <row r="270" spans="1:11" ht="20.25" thickBot="1" x14ac:dyDescent="0.3">
      <c r="A270" s="162" t="s">
        <v>105</v>
      </c>
      <c r="B270" s="184"/>
      <c r="C270" s="184"/>
      <c r="D270" s="184"/>
      <c r="E270" s="183" t="s">
        <v>132</v>
      </c>
      <c r="F270" s="184"/>
      <c r="G270" s="184"/>
      <c r="H270" s="184"/>
      <c r="I270" s="184"/>
      <c r="J270" s="184"/>
      <c r="K270" s="185"/>
    </row>
    <row r="271" spans="1:11" ht="20.25" thickBot="1" x14ac:dyDescent="0.3">
      <c r="A271" s="110"/>
      <c r="B271" s="101" t="s">
        <v>34</v>
      </c>
      <c r="C271" s="15"/>
      <c r="D271" s="15"/>
      <c r="E271" s="115">
        <v>93</v>
      </c>
      <c r="F271" s="115">
        <v>94</v>
      </c>
      <c r="G271" s="115">
        <v>94</v>
      </c>
      <c r="H271" s="115">
        <v>86</v>
      </c>
      <c r="I271" s="115">
        <v>95</v>
      </c>
      <c r="J271" s="115">
        <v>94</v>
      </c>
      <c r="K271" s="116">
        <v>556</v>
      </c>
    </row>
    <row r="272" spans="1:11" ht="15.75" thickBot="1" x14ac:dyDescent="0.3">
      <c r="A272" s="111" t="s">
        <v>119</v>
      </c>
      <c r="B272" s="106" t="s">
        <v>124</v>
      </c>
      <c r="C272" s="13" t="s">
        <v>22</v>
      </c>
      <c r="D272" s="13" t="s">
        <v>113</v>
      </c>
      <c r="E272" s="117">
        <v>90</v>
      </c>
      <c r="F272" s="117">
        <v>95</v>
      </c>
      <c r="G272" s="117">
        <v>91</v>
      </c>
      <c r="H272" s="117">
        <v>93</v>
      </c>
      <c r="I272" s="117">
        <v>91</v>
      </c>
      <c r="J272" s="117">
        <v>95</v>
      </c>
      <c r="K272" s="116">
        <f t="shared" ref="K272:K273" si="23">SUM(E272:J272)</f>
        <v>555</v>
      </c>
    </row>
    <row r="273" spans="1:11" ht="19.5" x14ac:dyDescent="0.25">
      <c r="A273" s="112"/>
      <c r="B273" s="106" t="s">
        <v>30</v>
      </c>
      <c r="C273" s="13"/>
      <c r="D273" s="13"/>
      <c r="E273" s="117">
        <v>88</v>
      </c>
      <c r="F273" s="117">
        <v>89</v>
      </c>
      <c r="G273" s="117">
        <v>93</v>
      </c>
      <c r="H273" s="117">
        <v>90</v>
      </c>
      <c r="I273" s="117">
        <v>92</v>
      </c>
      <c r="J273" s="117">
        <v>93</v>
      </c>
      <c r="K273" s="116">
        <f t="shared" si="23"/>
        <v>545</v>
      </c>
    </row>
    <row r="274" spans="1:11" ht="20.25" thickBot="1" x14ac:dyDescent="0.3">
      <c r="A274" s="113"/>
      <c r="B274" s="103"/>
      <c r="C274" s="36"/>
      <c r="D274" s="36"/>
      <c r="E274" s="118"/>
      <c r="F274" s="118"/>
      <c r="G274" s="118"/>
      <c r="H274" s="118"/>
      <c r="I274" s="118"/>
      <c r="J274" s="118"/>
      <c r="K274" s="119">
        <f>SUM(K271:K273)</f>
        <v>1656</v>
      </c>
    </row>
    <row r="275" spans="1:11" x14ac:dyDescent="0.25">
      <c r="A275" s="107"/>
      <c r="B275" s="101" t="s">
        <v>80</v>
      </c>
      <c r="C275" s="13"/>
      <c r="D275" s="13"/>
      <c r="E275" s="117">
        <v>87</v>
      </c>
      <c r="F275" s="117">
        <v>94</v>
      </c>
      <c r="G275" s="117">
        <v>93</v>
      </c>
      <c r="H275" s="117">
        <v>87</v>
      </c>
      <c r="I275" s="117">
        <v>86</v>
      </c>
      <c r="J275" s="117">
        <v>86</v>
      </c>
      <c r="K275" s="120">
        <f>SUM(E275:J275)</f>
        <v>533</v>
      </c>
    </row>
    <row r="276" spans="1:11" x14ac:dyDescent="0.25">
      <c r="A276" s="107" t="s">
        <v>121</v>
      </c>
      <c r="B276" s="102" t="s">
        <v>81</v>
      </c>
      <c r="C276" s="13" t="s">
        <v>51</v>
      </c>
      <c r="D276" s="13" t="s">
        <v>116</v>
      </c>
      <c r="E276" s="117">
        <v>79</v>
      </c>
      <c r="F276" s="117">
        <v>91</v>
      </c>
      <c r="G276" s="117">
        <v>83</v>
      </c>
      <c r="H276" s="117">
        <v>90</v>
      </c>
      <c r="I276" s="117">
        <v>92</v>
      </c>
      <c r="J276" s="117">
        <v>83</v>
      </c>
      <c r="K276" s="120">
        <f t="shared" ref="K276:K277" si="24">SUM(E276:J276)</f>
        <v>518</v>
      </c>
    </row>
    <row r="277" spans="1:11" x14ac:dyDescent="0.25">
      <c r="A277" s="107"/>
      <c r="B277" s="102" t="s">
        <v>133</v>
      </c>
      <c r="C277" s="13"/>
      <c r="D277" s="13"/>
      <c r="E277" s="117">
        <v>77</v>
      </c>
      <c r="F277" s="117">
        <v>84</v>
      </c>
      <c r="G277" s="117">
        <v>92</v>
      </c>
      <c r="H277" s="117">
        <v>87</v>
      </c>
      <c r="I277" s="117">
        <v>80</v>
      </c>
      <c r="J277" s="117">
        <v>86</v>
      </c>
      <c r="K277" s="120">
        <f t="shared" si="24"/>
        <v>506</v>
      </c>
    </row>
    <row r="278" spans="1:11" ht="15.75" thickBot="1" x14ac:dyDescent="0.3">
      <c r="A278" s="108"/>
      <c r="B278" s="103"/>
      <c r="C278" s="36"/>
      <c r="D278" s="36"/>
      <c r="E278" s="118"/>
      <c r="F278" s="118"/>
      <c r="G278" s="118"/>
      <c r="H278" s="118"/>
      <c r="I278" s="118"/>
      <c r="J278" s="118"/>
      <c r="K278" s="119">
        <f>SUM(K275:K277)</f>
        <v>1557</v>
      </c>
    </row>
    <row r="279" spans="1:11" x14ac:dyDescent="0.25">
      <c r="A279" s="107"/>
      <c r="B279" s="101" t="s">
        <v>50</v>
      </c>
      <c r="C279" s="13"/>
      <c r="D279" s="13"/>
      <c r="E279" s="117">
        <v>84</v>
      </c>
      <c r="F279" s="117">
        <v>91</v>
      </c>
      <c r="G279" s="117">
        <v>93</v>
      </c>
      <c r="H279" s="117">
        <v>88</v>
      </c>
      <c r="I279" s="117">
        <v>86</v>
      </c>
      <c r="J279" s="117">
        <v>90</v>
      </c>
      <c r="K279" s="120">
        <f t="shared" ref="K279:K281" si="25">SUM(E279:J279)</f>
        <v>532</v>
      </c>
    </row>
    <row r="280" spans="1:11" x14ac:dyDescent="0.25">
      <c r="A280" s="107" t="s">
        <v>123</v>
      </c>
      <c r="B280" s="102" t="s">
        <v>52</v>
      </c>
      <c r="C280" s="13" t="s">
        <v>51</v>
      </c>
      <c r="D280" s="13" t="s">
        <v>122</v>
      </c>
      <c r="E280" s="117">
        <v>84</v>
      </c>
      <c r="F280" s="117">
        <v>86</v>
      </c>
      <c r="G280" s="117">
        <v>88</v>
      </c>
      <c r="H280" s="117">
        <v>93</v>
      </c>
      <c r="I280" s="117">
        <v>90</v>
      </c>
      <c r="J280" s="117">
        <v>83</v>
      </c>
      <c r="K280" s="120">
        <f t="shared" si="25"/>
        <v>524</v>
      </c>
    </row>
    <row r="281" spans="1:11" x14ac:dyDescent="0.25">
      <c r="A281" s="107"/>
      <c r="B281" s="102" t="s">
        <v>53</v>
      </c>
      <c r="C281" s="13"/>
      <c r="D281" s="13"/>
      <c r="E281" s="117">
        <v>85</v>
      </c>
      <c r="F281" s="117">
        <v>81</v>
      </c>
      <c r="G281" s="117">
        <v>81</v>
      </c>
      <c r="H281" s="117">
        <v>64</v>
      </c>
      <c r="I281" s="117">
        <v>70</v>
      </c>
      <c r="J281" s="117">
        <v>86</v>
      </c>
      <c r="K281" s="120">
        <f t="shared" si="25"/>
        <v>467</v>
      </c>
    </row>
    <row r="282" spans="1:11" ht="15.75" thickBot="1" x14ac:dyDescent="0.3">
      <c r="A282" s="108"/>
      <c r="B282" s="103"/>
      <c r="C282" s="36"/>
      <c r="D282" s="36"/>
      <c r="E282" s="118"/>
      <c r="F282" s="118"/>
      <c r="G282" s="118"/>
      <c r="H282" s="118"/>
      <c r="I282" s="118"/>
      <c r="J282" s="118"/>
      <c r="K282" s="119">
        <f>SUM(K279:K281)</f>
        <v>1523</v>
      </c>
    </row>
    <row r="283" spans="1:11" ht="20.25" customHeight="1" thickBot="1" x14ac:dyDescent="0.3">
      <c r="A283" s="162" t="s">
        <v>105</v>
      </c>
      <c r="B283" s="184"/>
      <c r="C283" s="184"/>
      <c r="D283" s="184"/>
      <c r="E283" s="183" t="s">
        <v>134</v>
      </c>
      <c r="F283" s="184"/>
      <c r="G283" s="184"/>
      <c r="H283" s="184"/>
      <c r="I283" s="184"/>
      <c r="J283" s="184"/>
      <c r="K283" s="185"/>
    </row>
    <row r="284" spans="1:11" ht="19.5" x14ac:dyDescent="0.25">
      <c r="A284" s="110"/>
      <c r="B284" s="101" t="s">
        <v>34</v>
      </c>
      <c r="C284" s="15"/>
      <c r="D284" s="15"/>
      <c r="E284" s="115">
        <v>96</v>
      </c>
      <c r="F284" s="115">
        <v>95</v>
      </c>
      <c r="G284" s="115">
        <v>91</v>
      </c>
      <c r="H284" s="115">
        <v>91</v>
      </c>
      <c r="I284" s="115">
        <v>84</v>
      </c>
      <c r="J284" s="115">
        <v>87</v>
      </c>
      <c r="K284" s="120">
        <f t="shared" ref="K284:K297" si="26">SUM(E284:J284)</f>
        <v>544</v>
      </c>
    </row>
    <row r="285" spans="1:11" x14ac:dyDescent="0.25">
      <c r="A285" s="111" t="s">
        <v>119</v>
      </c>
      <c r="B285" s="106" t="s">
        <v>124</v>
      </c>
      <c r="C285" s="13" t="s">
        <v>22</v>
      </c>
      <c r="D285" s="13" t="s">
        <v>113</v>
      </c>
      <c r="E285" s="117">
        <v>93</v>
      </c>
      <c r="F285" s="117">
        <v>93</v>
      </c>
      <c r="G285" s="117">
        <v>86</v>
      </c>
      <c r="H285" s="117">
        <v>90</v>
      </c>
      <c r="I285" s="117">
        <v>77</v>
      </c>
      <c r="J285" s="117">
        <v>81</v>
      </c>
      <c r="K285" s="120">
        <f t="shared" si="26"/>
        <v>520</v>
      </c>
    </row>
    <row r="286" spans="1:11" ht="19.5" x14ac:dyDescent="0.25">
      <c r="A286" s="112"/>
      <c r="B286" s="102" t="s">
        <v>115</v>
      </c>
      <c r="C286" s="13"/>
      <c r="D286" s="13"/>
      <c r="E286" s="117">
        <v>92</v>
      </c>
      <c r="F286" s="117">
        <v>91</v>
      </c>
      <c r="G286" s="117">
        <v>90</v>
      </c>
      <c r="H286" s="117">
        <v>93</v>
      </c>
      <c r="I286" s="117">
        <v>84</v>
      </c>
      <c r="J286" s="117">
        <v>89</v>
      </c>
      <c r="K286" s="120">
        <f t="shared" si="26"/>
        <v>539</v>
      </c>
    </row>
    <row r="287" spans="1:11" ht="20.25" thickBot="1" x14ac:dyDescent="0.3">
      <c r="A287" s="113"/>
      <c r="B287" s="103"/>
      <c r="C287" s="36"/>
      <c r="D287" s="36"/>
      <c r="E287" s="118"/>
      <c r="F287" s="118"/>
      <c r="G287" s="118"/>
      <c r="H287" s="118"/>
      <c r="I287" s="118"/>
      <c r="J287" s="118"/>
      <c r="K287" s="119">
        <f>SUM(K284:K286)</f>
        <v>1603</v>
      </c>
    </row>
    <row r="288" spans="1:11" x14ac:dyDescent="0.25">
      <c r="A288" s="107"/>
      <c r="B288" s="101" t="s">
        <v>50</v>
      </c>
      <c r="C288" s="13"/>
      <c r="D288" s="13"/>
      <c r="E288" s="117">
        <v>83</v>
      </c>
      <c r="F288" s="117">
        <v>82</v>
      </c>
      <c r="G288" s="117">
        <v>87</v>
      </c>
      <c r="H288" s="117">
        <v>86</v>
      </c>
      <c r="I288" s="117">
        <v>87</v>
      </c>
      <c r="J288" s="117">
        <v>84</v>
      </c>
      <c r="K288" s="120">
        <f t="shared" si="26"/>
        <v>509</v>
      </c>
    </row>
    <row r="289" spans="1:11" x14ac:dyDescent="0.25">
      <c r="A289" s="107" t="s">
        <v>121</v>
      </c>
      <c r="B289" s="102" t="s">
        <v>52</v>
      </c>
      <c r="C289" s="13" t="s">
        <v>51</v>
      </c>
      <c r="D289" s="13" t="s">
        <v>122</v>
      </c>
      <c r="E289" s="117">
        <v>88</v>
      </c>
      <c r="F289" s="117">
        <v>87</v>
      </c>
      <c r="G289" s="117">
        <v>86</v>
      </c>
      <c r="H289" s="117">
        <v>88</v>
      </c>
      <c r="I289" s="117">
        <v>75</v>
      </c>
      <c r="J289" s="117">
        <v>81</v>
      </c>
      <c r="K289" s="120">
        <f t="shared" si="26"/>
        <v>505</v>
      </c>
    </row>
    <row r="290" spans="1:11" x14ac:dyDescent="0.25">
      <c r="A290" s="107"/>
      <c r="B290" s="102" t="s">
        <v>53</v>
      </c>
      <c r="C290" s="13"/>
      <c r="D290" s="13"/>
      <c r="E290" s="117">
        <v>72</v>
      </c>
      <c r="F290" s="117">
        <v>89</v>
      </c>
      <c r="G290" s="117">
        <v>74</v>
      </c>
      <c r="H290" s="117">
        <v>65</v>
      </c>
      <c r="I290" s="117">
        <v>61</v>
      </c>
      <c r="J290" s="117">
        <v>74</v>
      </c>
      <c r="K290" s="120">
        <f t="shared" si="26"/>
        <v>435</v>
      </c>
    </row>
    <row r="291" spans="1:11" ht="15.75" thickBot="1" x14ac:dyDescent="0.3">
      <c r="A291" s="108"/>
      <c r="B291" s="103"/>
      <c r="C291" s="36"/>
      <c r="D291" s="36"/>
      <c r="E291" s="118"/>
      <c r="F291" s="118"/>
      <c r="G291" s="118"/>
      <c r="H291" s="118"/>
      <c r="I291" s="118"/>
      <c r="J291" s="118"/>
      <c r="K291" s="119">
        <f>SUM(K288:K290)</f>
        <v>1449</v>
      </c>
    </row>
    <row r="292" spans="1:11" x14ac:dyDescent="0.25">
      <c r="A292" s="107"/>
      <c r="B292" s="101" t="s">
        <v>80</v>
      </c>
      <c r="C292" s="13"/>
      <c r="D292" s="13"/>
      <c r="E292" s="117">
        <v>90</v>
      </c>
      <c r="F292" s="117">
        <v>90</v>
      </c>
      <c r="G292" s="117">
        <v>84</v>
      </c>
      <c r="H292" s="117">
        <v>78</v>
      </c>
      <c r="I292" s="117">
        <v>83</v>
      </c>
      <c r="J292" s="117">
        <v>79</v>
      </c>
      <c r="K292" s="120">
        <f t="shared" si="26"/>
        <v>504</v>
      </c>
    </row>
    <row r="293" spans="1:11" x14ac:dyDescent="0.25">
      <c r="A293" s="107" t="s">
        <v>123</v>
      </c>
      <c r="B293" s="102" t="s">
        <v>81</v>
      </c>
      <c r="C293" s="13" t="s">
        <v>51</v>
      </c>
      <c r="D293" s="13" t="s">
        <v>116</v>
      </c>
      <c r="E293" s="117">
        <v>87</v>
      </c>
      <c r="F293" s="117">
        <v>89</v>
      </c>
      <c r="G293" s="117">
        <v>81</v>
      </c>
      <c r="H293" s="117">
        <v>86</v>
      </c>
      <c r="I293" s="117">
        <v>70</v>
      </c>
      <c r="J293" s="117">
        <v>78</v>
      </c>
      <c r="K293" s="120">
        <f t="shared" si="26"/>
        <v>491</v>
      </c>
    </row>
    <row r="294" spans="1:11" x14ac:dyDescent="0.25">
      <c r="A294" s="107"/>
      <c r="B294" s="102" t="s">
        <v>135</v>
      </c>
      <c r="C294" s="13"/>
      <c r="D294" s="13"/>
      <c r="E294" s="117">
        <v>67</v>
      </c>
      <c r="F294" s="117">
        <v>83</v>
      </c>
      <c r="G294" s="117">
        <v>59</v>
      </c>
      <c r="H294" s="117">
        <v>78</v>
      </c>
      <c r="I294" s="117">
        <v>65</v>
      </c>
      <c r="J294" s="117">
        <v>63</v>
      </c>
      <c r="K294" s="120">
        <f t="shared" si="26"/>
        <v>415</v>
      </c>
    </row>
    <row r="295" spans="1:11" ht="15.75" thickBot="1" x14ac:dyDescent="0.3">
      <c r="A295" s="108"/>
      <c r="B295" s="103"/>
      <c r="C295" s="36"/>
      <c r="D295" s="36"/>
      <c r="E295" s="118"/>
      <c r="F295" s="118"/>
      <c r="G295" s="118"/>
      <c r="H295" s="118"/>
      <c r="I295" s="118"/>
      <c r="J295" s="118"/>
      <c r="K295" s="119">
        <f>SUM(K292:K294)</f>
        <v>1410</v>
      </c>
    </row>
    <row r="296" spans="1:11" ht="19.5" x14ac:dyDescent="0.25">
      <c r="A296" s="110"/>
      <c r="B296" s="101" t="s">
        <v>118</v>
      </c>
      <c r="C296" s="15"/>
      <c r="D296" s="15"/>
      <c r="E296" s="115">
        <v>94</v>
      </c>
      <c r="F296" s="115">
        <v>87</v>
      </c>
      <c r="G296" s="115">
        <v>85</v>
      </c>
      <c r="H296" s="115">
        <v>86</v>
      </c>
      <c r="I296" s="115">
        <v>75</v>
      </c>
      <c r="J296" s="115">
        <v>84</v>
      </c>
      <c r="K296" s="120">
        <f t="shared" si="26"/>
        <v>511</v>
      </c>
    </row>
    <row r="297" spans="1:11" x14ac:dyDescent="0.25">
      <c r="A297" s="111" t="s">
        <v>125</v>
      </c>
      <c r="B297" s="106" t="s">
        <v>30</v>
      </c>
      <c r="C297" s="13" t="s">
        <v>22</v>
      </c>
      <c r="D297" s="13" t="s">
        <v>114</v>
      </c>
      <c r="E297" s="117">
        <v>90</v>
      </c>
      <c r="F297" s="117">
        <v>88</v>
      </c>
      <c r="G297" s="117">
        <v>88</v>
      </c>
      <c r="H297" s="117">
        <v>91</v>
      </c>
      <c r="I297" s="117">
        <v>82</v>
      </c>
      <c r="J297" s="117">
        <v>87</v>
      </c>
      <c r="K297" s="120">
        <f t="shared" si="26"/>
        <v>526</v>
      </c>
    </row>
    <row r="298" spans="1:11" ht="19.5" x14ac:dyDescent="0.25">
      <c r="A298" s="112"/>
      <c r="B298" s="106" t="s">
        <v>31</v>
      </c>
      <c r="C298" s="13"/>
      <c r="D298" s="13"/>
      <c r="E298" s="121"/>
      <c r="F298" s="121"/>
      <c r="G298" s="121"/>
      <c r="H298" s="121"/>
      <c r="I298" s="121"/>
      <c r="J298" s="121"/>
      <c r="K298" s="123" t="s">
        <v>103</v>
      </c>
    </row>
    <row r="299" spans="1:11" ht="20.25" thickBot="1" x14ac:dyDescent="0.3">
      <c r="A299" s="112"/>
      <c r="B299" s="124"/>
      <c r="C299" s="79"/>
      <c r="D299" s="79"/>
      <c r="E299" s="125"/>
      <c r="F299" s="125"/>
      <c r="G299" s="125"/>
      <c r="H299" s="125"/>
      <c r="I299" s="125"/>
      <c r="J299" s="125"/>
      <c r="K299" s="119">
        <f>SUM(K296:K298)</f>
        <v>1037</v>
      </c>
    </row>
    <row r="300" spans="1:11" ht="19.5" x14ac:dyDescent="0.25">
      <c r="A300" s="112"/>
      <c r="B300" s="124"/>
      <c r="C300" s="79"/>
      <c r="D300" s="79"/>
      <c r="E300" s="125"/>
      <c r="F300" s="125"/>
      <c r="G300" s="125"/>
      <c r="H300" s="125"/>
      <c r="I300" s="125"/>
      <c r="J300" s="125"/>
      <c r="K300" s="126"/>
    </row>
    <row r="301" spans="1:11" ht="20.25" thickBot="1" x14ac:dyDescent="0.3">
      <c r="A301" s="113"/>
      <c r="B301" s="103"/>
      <c r="C301" s="36"/>
      <c r="D301" s="36"/>
      <c r="E301" s="118"/>
      <c r="F301" s="118"/>
      <c r="G301" s="118"/>
      <c r="H301" s="118"/>
      <c r="I301" s="118"/>
      <c r="J301" s="118"/>
      <c r="K301" s="119"/>
    </row>
    <row r="302" spans="1:11" ht="20.25" customHeight="1" thickBot="1" x14ac:dyDescent="0.3">
      <c r="A302" s="162" t="s">
        <v>105</v>
      </c>
      <c r="B302" s="184"/>
      <c r="C302" s="184"/>
      <c r="D302" s="184"/>
      <c r="E302" s="162" t="s">
        <v>136</v>
      </c>
      <c r="F302" s="163"/>
      <c r="G302" s="163"/>
      <c r="H302" s="163"/>
      <c r="I302" s="163"/>
      <c r="J302" s="163"/>
      <c r="K302" s="198"/>
    </row>
    <row r="303" spans="1:11" ht="19.5" x14ac:dyDescent="0.25">
      <c r="A303" s="110"/>
      <c r="B303" s="101" t="s">
        <v>34</v>
      </c>
      <c r="C303" s="15"/>
      <c r="D303" s="15"/>
      <c r="E303" s="47">
        <v>81</v>
      </c>
      <c r="F303" s="47">
        <v>83</v>
      </c>
      <c r="G303" s="47">
        <v>89</v>
      </c>
      <c r="H303" s="47">
        <v>89</v>
      </c>
      <c r="I303" s="47">
        <v>88</v>
      </c>
      <c r="J303" s="47">
        <v>77</v>
      </c>
      <c r="K303" s="127">
        <f t="shared" ref="K303:K305" si="27">SUM(E303:J303)</f>
        <v>507</v>
      </c>
    </row>
    <row r="304" spans="1:11" x14ac:dyDescent="0.25">
      <c r="A304" s="111" t="s">
        <v>119</v>
      </c>
      <c r="B304" s="106" t="s">
        <v>25</v>
      </c>
      <c r="C304" s="13" t="s">
        <v>22</v>
      </c>
      <c r="D304" s="13" t="s">
        <v>23</v>
      </c>
      <c r="E304" s="117">
        <v>83</v>
      </c>
      <c r="F304" s="117">
        <v>79</v>
      </c>
      <c r="G304" s="117">
        <v>83</v>
      </c>
      <c r="H304" s="117">
        <v>92</v>
      </c>
      <c r="I304" s="117">
        <v>81</v>
      </c>
      <c r="J304" s="117">
        <v>84</v>
      </c>
      <c r="K304" s="120">
        <f t="shared" si="27"/>
        <v>502</v>
      </c>
    </row>
    <row r="305" spans="1:11" ht="19.5" x14ac:dyDescent="0.25">
      <c r="A305" s="112"/>
      <c r="B305" s="102" t="s">
        <v>33</v>
      </c>
      <c r="C305" s="13"/>
      <c r="D305" s="13"/>
      <c r="E305" s="117">
        <v>64</v>
      </c>
      <c r="F305" s="117">
        <v>79</v>
      </c>
      <c r="G305" s="117">
        <v>74</v>
      </c>
      <c r="H305" s="117">
        <v>79</v>
      </c>
      <c r="I305" s="117">
        <v>82</v>
      </c>
      <c r="J305" s="117">
        <v>81</v>
      </c>
      <c r="K305" s="120">
        <f t="shared" si="27"/>
        <v>459</v>
      </c>
    </row>
    <row r="306" spans="1:11" ht="20.25" thickBot="1" x14ac:dyDescent="0.3">
      <c r="A306" s="113"/>
      <c r="B306" s="103"/>
      <c r="C306" s="36"/>
      <c r="D306" s="36"/>
      <c r="E306" s="118"/>
      <c r="F306" s="118"/>
      <c r="G306" s="118"/>
      <c r="H306" s="118"/>
      <c r="I306" s="118"/>
      <c r="J306" s="118"/>
      <c r="K306" s="119">
        <f>SUM(K303:K305)</f>
        <v>1468</v>
      </c>
    </row>
    <row r="307" spans="1:11" x14ac:dyDescent="0.25">
      <c r="A307" s="107"/>
      <c r="B307" s="101" t="s">
        <v>38</v>
      </c>
      <c r="C307" s="13"/>
      <c r="D307" s="13"/>
      <c r="E307" s="117">
        <v>70</v>
      </c>
      <c r="F307" s="117">
        <v>79</v>
      </c>
      <c r="G307" s="117">
        <v>78</v>
      </c>
      <c r="H307" s="117">
        <v>86</v>
      </c>
      <c r="I307" s="117">
        <v>78</v>
      </c>
      <c r="J307" s="117">
        <v>83</v>
      </c>
      <c r="K307" s="120">
        <f t="shared" ref="K307:K308" si="28">SUM(E307:J307)</f>
        <v>474</v>
      </c>
    </row>
    <row r="308" spans="1:11" x14ac:dyDescent="0.25">
      <c r="A308" s="107" t="s">
        <v>121</v>
      </c>
      <c r="B308" s="102" t="s">
        <v>39</v>
      </c>
      <c r="C308" s="13" t="s">
        <v>36</v>
      </c>
      <c r="D308" s="13" t="s">
        <v>37</v>
      </c>
      <c r="E308" s="117">
        <v>70</v>
      </c>
      <c r="F308" s="117">
        <v>68</v>
      </c>
      <c r="G308" s="117">
        <v>85</v>
      </c>
      <c r="H308" s="117">
        <v>79</v>
      </c>
      <c r="I308" s="117">
        <v>83</v>
      </c>
      <c r="J308" s="117">
        <v>75</v>
      </c>
      <c r="K308" s="120">
        <f t="shared" si="28"/>
        <v>460</v>
      </c>
    </row>
    <row r="309" spans="1:11" x14ac:dyDescent="0.25">
      <c r="A309" s="107"/>
      <c r="B309" s="106" t="s">
        <v>111</v>
      </c>
      <c r="C309" s="114"/>
      <c r="D309" s="13"/>
      <c r="E309" s="121"/>
      <c r="F309" s="121"/>
      <c r="G309" s="121"/>
      <c r="H309" s="121"/>
      <c r="I309" s="121"/>
      <c r="J309" s="121"/>
      <c r="K309" s="123" t="s">
        <v>103</v>
      </c>
    </row>
    <row r="310" spans="1:11" ht="15.75" thickBot="1" x14ac:dyDescent="0.3">
      <c r="A310" s="108"/>
      <c r="B310" s="103"/>
      <c r="C310" s="36"/>
      <c r="D310" s="36"/>
      <c r="E310" s="118"/>
      <c r="F310" s="118"/>
      <c r="G310" s="118"/>
      <c r="H310" s="118"/>
      <c r="I310" s="118"/>
      <c r="J310" s="118"/>
      <c r="K310" s="119">
        <f>SUM(K307:K309)</f>
        <v>934</v>
      </c>
    </row>
    <row r="312" spans="1:11" ht="15.75" thickBot="1" x14ac:dyDescent="0.3"/>
    <row r="313" spans="1:11" ht="26.25" customHeight="1" thickBot="1" x14ac:dyDescent="0.3">
      <c r="B313" s="180" t="s">
        <v>154</v>
      </c>
      <c r="C313" s="181"/>
      <c r="D313" s="181"/>
      <c r="E313" s="181"/>
      <c r="F313" s="181"/>
      <c r="G313" s="181"/>
      <c r="H313" s="181"/>
      <c r="I313" s="181"/>
      <c r="J313" s="181"/>
      <c r="K313" s="197"/>
    </row>
    <row r="314" spans="1:11" ht="15.75" thickBot="1" x14ac:dyDescent="0.3"/>
    <row r="315" spans="1:11" ht="63.75" customHeight="1" thickBot="1" x14ac:dyDescent="0.3">
      <c r="B315" s="147" t="s">
        <v>2</v>
      </c>
      <c r="C315" s="148" t="s">
        <v>153</v>
      </c>
      <c r="D315" s="149" t="s">
        <v>160</v>
      </c>
      <c r="E315" s="149" t="s">
        <v>161</v>
      </c>
      <c r="F315" s="149" t="s">
        <v>140</v>
      </c>
      <c r="G315" s="149" t="s">
        <v>141</v>
      </c>
      <c r="H315" s="149" t="s">
        <v>142</v>
      </c>
      <c r="I315" s="149" t="s">
        <v>139</v>
      </c>
      <c r="J315" s="149" t="s">
        <v>171</v>
      </c>
      <c r="K315" s="150" t="s">
        <v>170</v>
      </c>
    </row>
    <row r="316" spans="1:11" x14ac:dyDescent="0.25">
      <c r="B316" s="134" t="s">
        <v>23</v>
      </c>
      <c r="C316" s="130" t="s">
        <v>144</v>
      </c>
      <c r="D316" s="129">
        <v>14</v>
      </c>
      <c r="E316" s="129">
        <v>3</v>
      </c>
      <c r="F316" s="129">
        <v>8</v>
      </c>
      <c r="G316" s="129">
        <v>4</v>
      </c>
      <c r="H316" s="129">
        <v>7</v>
      </c>
      <c r="I316" s="129">
        <v>0</v>
      </c>
      <c r="J316" s="129">
        <v>0</v>
      </c>
      <c r="K316" s="135">
        <v>0</v>
      </c>
    </row>
    <row r="317" spans="1:11" x14ac:dyDescent="0.25">
      <c r="B317" s="136" t="s">
        <v>37</v>
      </c>
      <c r="C317" s="130" t="s">
        <v>143</v>
      </c>
      <c r="D317" s="129">
        <v>3</v>
      </c>
      <c r="E317" s="129">
        <v>5</v>
      </c>
      <c r="F317" s="129">
        <v>0</v>
      </c>
      <c r="G317" s="129">
        <v>3</v>
      </c>
      <c r="H317" s="129">
        <v>1</v>
      </c>
      <c r="I317" s="129">
        <v>5</v>
      </c>
      <c r="J317" s="129">
        <v>2</v>
      </c>
      <c r="K317" s="135">
        <v>3</v>
      </c>
    </row>
    <row r="318" spans="1:11" x14ac:dyDescent="0.25">
      <c r="B318" s="136" t="s">
        <v>79</v>
      </c>
      <c r="C318" s="131" t="s">
        <v>145</v>
      </c>
      <c r="D318" s="128">
        <v>6</v>
      </c>
      <c r="E318" s="128">
        <v>1</v>
      </c>
      <c r="F318" s="128">
        <v>6</v>
      </c>
      <c r="G318" s="128">
        <v>0</v>
      </c>
      <c r="H318" s="128">
        <v>4</v>
      </c>
      <c r="I318" s="128">
        <v>0</v>
      </c>
      <c r="J318" s="128">
        <v>0</v>
      </c>
      <c r="K318" s="137">
        <v>0</v>
      </c>
    </row>
    <row r="319" spans="1:11" x14ac:dyDescent="0.25">
      <c r="B319" s="136" t="s">
        <v>122</v>
      </c>
      <c r="C319" s="131" t="s">
        <v>146</v>
      </c>
      <c r="D319" s="128">
        <v>3</v>
      </c>
      <c r="E319" s="128">
        <v>0</v>
      </c>
      <c r="F319" s="128">
        <v>3</v>
      </c>
      <c r="G319" s="128">
        <v>1</v>
      </c>
      <c r="H319" s="128">
        <v>3</v>
      </c>
      <c r="I319" s="128">
        <v>0</v>
      </c>
      <c r="J319" s="128">
        <v>0</v>
      </c>
      <c r="K319" s="137">
        <v>0</v>
      </c>
    </row>
    <row r="320" spans="1:11" x14ac:dyDescent="0.25">
      <c r="B320" s="136" t="s">
        <v>55</v>
      </c>
      <c r="C320" s="131" t="s">
        <v>149</v>
      </c>
      <c r="D320" s="128">
        <v>1</v>
      </c>
      <c r="E320" s="128">
        <v>2</v>
      </c>
      <c r="F320" s="128">
        <v>2</v>
      </c>
      <c r="G320" s="128">
        <v>0</v>
      </c>
      <c r="H320" s="128">
        <v>3</v>
      </c>
      <c r="I320" s="128">
        <v>0</v>
      </c>
      <c r="J320" s="128">
        <v>0</v>
      </c>
      <c r="K320" s="137">
        <v>0</v>
      </c>
    </row>
    <row r="321" spans="2:11" x14ac:dyDescent="0.25">
      <c r="B321" s="136" t="s">
        <v>137</v>
      </c>
      <c r="C321" s="131" t="s">
        <v>148</v>
      </c>
      <c r="D321" s="128">
        <v>0</v>
      </c>
      <c r="E321" s="128">
        <v>1</v>
      </c>
      <c r="F321" s="128">
        <v>0</v>
      </c>
      <c r="G321" s="128">
        <v>0</v>
      </c>
      <c r="H321" s="128">
        <v>0</v>
      </c>
      <c r="I321" s="128">
        <v>0</v>
      </c>
      <c r="J321" s="128">
        <v>0</v>
      </c>
      <c r="K321" s="137">
        <v>0</v>
      </c>
    </row>
    <row r="322" spans="2:11" x14ac:dyDescent="0.25">
      <c r="B322" s="136" t="s">
        <v>58</v>
      </c>
      <c r="C322" s="131" t="s">
        <v>150</v>
      </c>
      <c r="D322" s="128">
        <v>4</v>
      </c>
      <c r="E322" s="128">
        <v>0</v>
      </c>
      <c r="F322" s="128">
        <v>1</v>
      </c>
      <c r="G322" s="128">
        <v>1</v>
      </c>
      <c r="H322" s="128">
        <v>1</v>
      </c>
      <c r="I322" s="128">
        <v>0</v>
      </c>
      <c r="J322" s="128">
        <v>0</v>
      </c>
      <c r="K322" s="137">
        <v>0</v>
      </c>
    </row>
    <row r="323" spans="2:11" x14ac:dyDescent="0.25">
      <c r="B323" s="136" t="s">
        <v>101</v>
      </c>
      <c r="C323" s="131" t="s">
        <v>151</v>
      </c>
      <c r="D323" s="128">
        <v>0</v>
      </c>
      <c r="E323" s="128">
        <v>1</v>
      </c>
      <c r="F323" s="128">
        <v>0</v>
      </c>
      <c r="G323" s="128">
        <v>0</v>
      </c>
      <c r="H323" s="128">
        <v>0</v>
      </c>
      <c r="I323" s="128">
        <v>1</v>
      </c>
      <c r="J323" s="128">
        <v>0</v>
      </c>
      <c r="K323" s="137">
        <v>0</v>
      </c>
    </row>
    <row r="324" spans="2:11" x14ac:dyDescent="0.25">
      <c r="B324" s="138" t="s">
        <v>138</v>
      </c>
      <c r="C324" s="131" t="s">
        <v>147</v>
      </c>
      <c r="D324" s="128">
        <v>0</v>
      </c>
      <c r="E324" s="128">
        <v>1</v>
      </c>
      <c r="F324" s="128">
        <v>1</v>
      </c>
      <c r="G324" s="128">
        <v>0</v>
      </c>
      <c r="H324" s="128">
        <v>1</v>
      </c>
      <c r="I324" s="128">
        <v>0</v>
      </c>
      <c r="J324" s="128">
        <v>0</v>
      </c>
      <c r="K324" s="137">
        <v>0</v>
      </c>
    </row>
    <row r="325" spans="2:11" ht="15.75" thickBot="1" x14ac:dyDescent="0.3">
      <c r="B325" s="139" t="s">
        <v>99</v>
      </c>
      <c r="C325" s="140" t="s">
        <v>147</v>
      </c>
      <c r="D325" s="141">
        <v>1</v>
      </c>
      <c r="E325" s="141">
        <v>1</v>
      </c>
      <c r="F325" s="141">
        <v>0</v>
      </c>
      <c r="G325" s="141">
        <v>1</v>
      </c>
      <c r="H325" s="141">
        <v>0</v>
      </c>
      <c r="I325" s="141">
        <v>0</v>
      </c>
      <c r="J325" s="141">
        <v>0</v>
      </c>
      <c r="K325" s="142">
        <v>0</v>
      </c>
    </row>
    <row r="326" spans="2:11" ht="15.75" thickBot="1" x14ac:dyDescent="0.3">
      <c r="B326" s="143"/>
      <c r="C326" s="144" t="s">
        <v>152</v>
      </c>
      <c r="D326" s="145">
        <f t="shared" ref="D326:K326" si="29">SUM(D316:D325)</f>
        <v>32</v>
      </c>
      <c r="E326" s="145">
        <f t="shared" si="29"/>
        <v>15</v>
      </c>
      <c r="F326" s="145">
        <f t="shared" si="29"/>
        <v>21</v>
      </c>
      <c r="G326" s="145">
        <f t="shared" si="29"/>
        <v>10</v>
      </c>
      <c r="H326" s="145">
        <f t="shared" si="29"/>
        <v>20</v>
      </c>
      <c r="I326" s="145">
        <f t="shared" si="29"/>
        <v>6</v>
      </c>
      <c r="J326" s="145">
        <f t="shared" si="29"/>
        <v>2</v>
      </c>
      <c r="K326" s="146">
        <f t="shared" si="29"/>
        <v>3</v>
      </c>
    </row>
    <row r="327" spans="2:11" x14ac:dyDescent="0.25">
      <c r="B327" s="132"/>
      <c r="C327" s="133"/>
      <c r="D327" s="132"/>
      <c r="E327" s="132"/>
      <c r="F327" s="132"/>
      <c r="G327" s="132"/>
      <c r="H327" s="132"/>
      <c r="I327" s="132"/>
      <c r="J327" s="132"/>
      <c r="K327" s="132"/>
    </row>
    <row r="330" spans="2:11" x14ac:dyDescent="0.25">
      <c r="B330" s="100" t="s">
        <v>167</v>
      </c>
      <c r="C330" s="196" t="s">
        <v>168</v>
      </c>
      <c r="D330" s="196"/>
    </row>
    <row r="331" spans="2:11" x14ac:dyDescent="0.25">
      <c r="C331" s="196" t="s">
        <v>169</v>
      </c>
      <c r="D331" s="196"/>
    </row>
  </sheetData>
  <sortState xmlns:xlrd2="http://schemas.microsoft.com/office/spreadsheetml/2017/richdata2" ref="B77:K79">
    <sortCondition descending="1" ref="J77:J79"/>
  </sortState>
  <mergeCells count="84">
    <mergeCell ref="A22:K22"/>
    <mergeCell ref="A24:K24"/>
    <mergeCell ref="C330:D330"/>
    <mergeCell ref="C331:D331"/>
    <mergeCell ref="B313:K313"/>
    <mergeCell ref="A302:D302"/>
    <mergeCell ref="E302:K302"/>
    <mergeCell ref="A257:D257"/>
    <mergeCell ref="E257:K257"/>
    <mergeCell ref="A270:D270"/>
    <mergeCell ref="E270:K270"/>
    <mergeCell ref="A283:D283"/>
    <mergeCell ref="A15:K15"/>
    <mergeCell ref="A17:K17"/>
    <mergeCell ref="A18:K18"/>
    <mergeCell ref="A19:K19"/>
    <mergeCell ref="A21:K21"/>
    <mergeCell ref="A1:K2"/>
    <mergeCell ref="A11:K11"/>
    <mergeCell ref="A3:K10"/>
    <mergeCell ref="A12:K12"/>
    <mergeCell ref="A13:K13"/>
    <mergeCell ref="E283:K283"/>
    <mergeCell ref="B228:K228"/>
    <mergeCell ref="A230:D230"/>
    <mergeCell ref="E230:K230"/>
    <mergeCell ref="E186:K186"/>
    <mergeCell ref="E194:K194"/>
    <mergeCell ref="A194:D194"/>
    <mergeCell ref="A186:D186"/>
    <mergeCell ref="A203:D203"/>
    <mergeCell ref="E203:K203"/>
    <mergeCell ref="A210:D210"/>
    <mergeCell ref="E210:K210"/>
    <mergeCell ref="E215:K215"/>
    <mergeCell ref="A215:D215"/>
    <mergeCell ref="E157:K157"/>
    <mergeCell ref="E164:K164"/>
    <mergeCell ref="E171:K171"/>
    <mergeCell ref="A157:D157"/>
    <mergeCell ref="A164:D164"/>
    <mergeCell ref="A171:D171"/>
    <mergeCell ref="E138:K138"/>
    <mergeCell ref="E144:K144"/>
    <mergeCell ref="E151:K151"/>
    <mergeCell ref="A138:D138"/>
    <mergeCell ref="A144:D144"/>
    <mergeCell ref="A151:D151"/>
    <mergeCell ref="E119:K119"/>
    <mergeCell ref="E126:K126"/>
    <mergeCell ref="E132:K132"/>
    <mergeCell ref="A119:D119"/>
    <mergeCell ref="A126:D126"/>
    <mergeCell ref="A132:D132"/>
    <mergeCell ref="E103:K103"/>
    <mergeCell ref="E108:K108"/>
    <mergeCell ref="E114:K114"/>
    <mergeCell ref="A103:D103"/>
    <mergeCell ref="A108:D108"/>
    <mergeCell ref="A114:D114"/>
    <mergeCell ref="E87:K87"/>
    <mergeCell ref="E93:K93"/>
    <mergeCell ref="E98:K98"/>
    <mergeCell ref="A87:D87"/>
    <mergeCell ref="A93:D93"/>
    <mergeCell ref="A98:D98"/>
    <mergeCell ref="E68:K68"/>
    <mergeCell ref="E75:K75"/>
    <mergeCell ref="E81:K81"/>
    <mergeCell ref="A68:D68"/>
    <mergeCell ref="A75:D75"/>
    <mergeCell ref="A81:D81"/>
    <mergeCell ref="A25:K25"/>
    <mergeCell ref="A26:K26"/>
    <mergeCell ref="A27:K27"/>
    <mergeCell ref="A23:K23"/>
    <mergeCell ref="E56:K56"/>
    <mergeCell ref="E28:K28"/>
    <mergeCell ref="E36:K36"/>
    <mergeCell ref="E49:K49"/>
    <mergeCell ref="A28:D28"/>
    <mergeCell ref="A36:D36"/>
    <mergeCell ref="A49:D49"/>
    <mergeCell ref="A56:D56"/>
  </mergeCells>
  <phoneticPr fontId="19" type="noConversion"/>
  <pageMargins left="0.25" right="0.25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N U D A A B Q S w M E F A A C A A g A l 6 Y 6 V V z A 7 Q e l A A A A 9 g A A A B I A H A B D b 2 5 m a W c v U G F j a 2 F n Z S 5 4 b W w g o h g A K K A U A A A A A A A A A A A A A A A A A A A A A A A A A A A A h Y 8 x D o I w G I W v Q r r T F k w M k p 8 y q J s k J i b G t S m 1 N E I x t F j u 5 u C R v I I Y R d 0 c 3 / e + 4 b 3 7 9 Q b 5 0 N T B R X Z W t y Z D E a Y o k E a 0 p T Y q Q 7 0 7 h g n K G W y 5 O H E l g 1 E 2 N h 1 s m a H K u X N K i P c e + x l u O 0 V i S i N y K D Y 7 U c m G o 4 + s / 8 u h N t Z x I y R i s H + N Y T G O a I I X y R x T I B O E Q p u v E I 9 7 n + 0 P h G V f u 7 6 T r J T h a g 1 k i k D e H 9 g D U E s D B B Q A A g A I A J e m O l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p j p V 0 1 n k t s 4 A A A D f A Q A A E w A c A E Z v c m 1 1 b G F z L 1 N l Y 3 R p b 2 4 x L m 0 g o h g A K K A U A A A A A A A A A A A A A A A A A A A A A A A A A A A A d d C 9 C s I w E A f w v Z B 3 O O L S Q i n G b x G n I m 6 C W H A o D q m e W E w T S V O w l L 6 N b + K L G S k O Q p o l 8 L v L / 7 i U e D a 5 k n D o b r Y i H v H K G 9 d 4 g Y R n K A Q y W I N A Q z y w Z 1 9 9 y c r m e U Y R x Z X W K M 1 R 6 X u m 1 N 0 P m n T H C 1 z T 3 1 t 6 a t N Y S W O b T m E X M a B b f L / k B b V B D U n 9 o D b O 9 g u M E s 1 l e V W 6 i J W o C m l r W P r d y L B p 6 O H B h b G Z I R h b A S 7 r N o Q f j 9 w 8 d v P E z V M 3 z 9 w 8 d / P C z U s 3 s 2 G P 9 + z J / h Z t A + L l s u 9 j V x 9 Q S w E C L Q A U A A I A C A C X p j p V X M D t B 6 U A A A D 2 A A A A E g A A A A A A A A A A A A A A A A A A A A A A Q 2 9 u Z m l n L 1 B h Y 2 t h Z 2 U u e G 1 s U E s B A i 0 A F A A C A A g A l 6 Y 6 V Q / K 6 a u k A A A A 6 Q A A A B M A A A A A A A A A A A A A A A A A 8 Q A A A F t D b 2 5 0 Z W 5 0 X 1 R 5 c G V z X S 5 4 b W x Q S w E C L Q A U A A I A C A C X p j p V 0 1 n k t s 4 A A A D f A Q A A E w A A A A A A A A A A A A A A A A D i A Q A A R m 9 y b X V s Y X M v U 2 V j d G l v b j E u b V B L B Q Y A A A A A A w A D A M I A A A D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E D Q A A A A A A A K I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2 V D E 4 O j E 1 O j Q z L j Y 1 N j Y 3 N j h a I i A v P j x F b n R y e S B U e X B l P S J G a W x s Q 2 9 s d W 1 u V H l w Z X M i I F Z h b H V l P S J z Q U F B Q U F B Q U F B Q U F B Q U F B Q S I g L z 4 8 R W 5 0 c n k g V H l w Z T 0 i R m l s b E N v b H V t b k 5 h b W V z I i B W Y W x 1 Z T 0 i c 1 s m c X V v d D t T c G F s d G U x J n F 1 b 3 Q 7 L C Z x d W 9 0 O 1 N w Y W x 0 Z T I m c X V v d D s s J n F 1 b 3 Q 7 U 3 B h b H R l M y Z x d W 9 0 O y w m c X V v d D t T c G F s d G U 0 J n F 1 b 3 Q 7 L C Z x d W 9 0 O 1 N w Y W x 0 Z T U m c X V v d D s s J n F 1 b 3 Q 7 U 3 B h b H R l N i Z x d W 9 0 O y w m c X V v d D t T c G F s d G U 3 J n F 1 b 3 Q 7 L C Z x d W 9 0 O 1 N w Y W x 0 Z T g m c X V v d D s s J n F 1 b 3 Q 7 U 3 B h b H R l O S Z x d W 9 0 O y w m c X V v d D t T c G F s d G U x M C Z x d W 9 0 O y w m c X V v d D t T c G F s d G U x M S Z x d W 9 0 O y w m c X V v d D t T c G F s d G U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l M S 9 H Z c O k b m R l c n R l c i B U e X A u e 1 N w Y W x 0 Z T E s M H 0 m c X V v d D s s J n F 1 b 3 Q 7 U 2 V j d G l v b j E v V G F i Z W x s Z T E v R 2 X D p G 5 k Z X J 0 Z X I g V H l w L n t T c G F s d G U y L D F 9 J n F 1 b 3 Q 7 L C Z x d W 9 0 O 1 N l Y 3 R p b 2 4 x L 1 R h Y m V s b G U x L 0 d l w 6 R u Z G V y d G V y I F R 5 c C 5 7 U 3 B h b H R l M y w y f S Z x d W 9 0 O y w m c X V v d D t T Z W N 0 a W 9 u M S 9 U Y W J l b G x l M S 9 H Z c O k b m R l c n R l c i B U e X A u e 1 N w Y W x 0 Z T Q s M 3 0 m c X V v d D s s J n F 1 b 3 Q 7 U 2 V j d G l v b j E v V G F i Z W x s Z T E v R 2 X D p G 5 k Z X J 0 Z X I g V H l w L n t T c G F s d G U 1 L D R 9 J n F 1 b 3 Q 7 L C Z x d W 9 0 O 1 N l Y 3 R p b 2 4 x L 1 R h Y m V s b G U x L 0 d l w 6 R u Z G V y d G V y I F R 5 c C 5 7 U 3 B h b H R l N i w 1 f S Z x d W 9 0 O y w m c X V v d D t T Z W N 0 a W 9 u M S 9 U Y W J l b G x l M S 9 H Z c O k b m R l c n R l c i B U e X A u e 1 N w Y W x 0 Z T c s N n 0 m c X V v d D s s J n F 1 b 3 Q 7 U 2 V j d G l v b j E v V G F i Z W x s Z T E v R 2 X D p G 5 k Z X J 0 Z X I g V H l w L n t T c G F s d G U 4 L D d 9 J n F 1 b 3 Q 7 L C Z x d W 9 0 O 1 N l Y 3 R p b 2 4 x L 1 R h Y m V s b G U x L 0 d l w 6 R u Z G V y d G V y I F R 5 c C 5 7 U 3 B h b H R l O S w 4 f S Z x d W 9 0 O y w m c X V v d D t T Z W N 0 a W 9 u M S 9 U Y W J l b G x l M S 9 H Z c O k b m R l c n R l c i B U e X A u e 1 N w Y W x 0 Z T E w L D l 9 J n F 1 b 3 Q 7 L C Z x d W 9 0 O 1 N l Y 3 R p b 2 4 x L 1 R h Y m V s b G U x L 0 d l w 6 R u Z G V y d G V y I F R 5 c C 5 7 U 3 B h b H R l M T E s M T B 9 J n F 1 b 3 Q 7 L C Z x d W 9 0 O 1 N l Y 3 R p b 2 4 x L 1 R h Y m V s b G U x L 0 d l w 6 R u Z G V y d G V y I F R 5 c C 5 7 U 3 B h b H R l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l b G x l M S 9 H Z c O k b m R l c n R l c i B U e X A u e 1 N w Y W x 0 Z T E s M H 0 m c X V v d D s s J n F 1 b 3 Q 7 U 2 V j d G l v b j E v V G F i Z W x s Z T E v R 2 X D p G 5 k Z X J 0 Z X I g V H l w L n t T c G F s d G U y L D F 9 J n F 1 b 3 Q 7 L C Z x d W 9 0 O 1 N l Y 3 R p b 2 4 x L 1 R h Y m V s b G U x L 0 d l w 6 R u Z G V y d G V y I F R 5 c C 5 7 U 3 B h b H R l M y w y f S Z x d W 9 0 O y w m c X V v d D t T Z W N 0 a W 9 u M S 9 U Y W J l b G x l M S 9 H Z c O k b m R l c n R l c i B U e X A u e 1 N w Y W x 0 Z T Q s M 3 0 m c X V v d D s s J n F 1 b 3 Q 7 U 2 V j d G l v b j E v V G F i Z W x s Z T E v R 2 X D p G 5 k Z X J 0 Z X I g V H l w L n t T c G F s d G U 1 L D R 9 J n F 1 b 3 Q 7 L C Z x d W 9 0 O 1 N l Y 3 R p b 2 4 x L 1 R h Y m V s b G U x L 0 d l w 6 R u Z G V y d G V y I F R 5 c C 5 7 U 3 B h b H R l N i w 1 f S Z x d W 9 0 O y w m c X V v d D t T Z W N 0 a W 9 u M S 9 U Y W J l b G x l M S 9 H Z c O k b m R l c n R l c i B U e X A u e 1 N w Y W x 0 Z T c s N n 0 m c X V v d D s s J n F 1 b 3 Q 7 U 2 V j d G l v b j E v V G F i Z W x s Z T E v R 2 X D p G 5 k Z X J 0 Z X I g V H l w L n t T c G F s d G U 4 L D d 9 J n F 1 b 3 Q 7 L C Z x d W 9 0 O 1 N l Y 3 R p b 2 4 x L 1 R h Y m V s b G U x L 0 d l w 6 R u Z G V y d G V y I F R 5 c C 5 7 U 3 B h b H R l O S w 4 f S Z x d W 9 0 O y w m c X V v d D t T Z W N 0 a W 9 u M S 9 U Y W J l b G x l M S 9 H Z c O k b m R l c n R l c i B U e X A u e 1 N w Y W x 0 Z T E w L D l 9 J n F 1 b 3 Q 7 L C Z x d W 9 0 O 1 N l Y 3 R p b 2 4 x L 1 R h Y m V s b G U x L 0 d l w 6 R u Z G V y d G V y I F R 5 c C 5 7 U 3 B h b H R l M T E s M T B 9 J n F 1 b 3 Q 7 L C Z x d W 9 0 O 1 N l Y 3 R p b 2 4 x L 1 R h Y m V s b G U x L 0 d l w 6 R u Z G V y d G V y I F R 5 c C 5 7 U 3 B h b H R l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l b G x l M S 9 R d W V s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l M S 9 H Z S V D M y V B N G 5 k Z X J 0 Z X I l M j B U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z C i m B V b H R E 2 f Y O o 6 n D v C z Q A A A A A C A A A A A A A Q Z g A A A A E A A C A A A A B 1 m V h 2 L e z 3 V 1 o E J S w A 6 t J 2 B t n 1 O X I + Q 3 5 J 7 v S N t b 7 / M Q A A A A A O g A A A A A I A A C A A A A C g k o s u V y L U l i k d z y M U + Z j / F E D 2 B B g n O C G k g H U D b / l L t l A A A A B M 2 2 a a i z U S B G Q h u c 3 9 p E D I m 3 4 w i F W / W a 7 L n Z x g z z o O c x G 6 q 0 h e W r c / 5 K J 3 U R s G L S R 5 Y I W U L Y Y U y q f j 6 V Y x L b + G l Y Q 6 Z G O P I E M M l Q / c y j W r + k A A A A C + 3 m k G F q R d O L Y V F Q J q g Z H J p n 0 C F C S / f 7 V z M Q 0 1 4 T 3 8 8 y C t w K 1 L M 5 u u E B t S p z g n U q U e K N d 1 / 5 t D + l V x W H C E F m 5 B < / D a t a M a s h u p > 
</file>

<file path=customXml/itemProps1.xml><?xml version="1.0" encoding="utf-8"?>
<ds:datastoreItem xmlns:ds="http://schemas.openxmlformats.org/officeDocument/2006/customXml" ds:itemID="{26E3F0D9-F79F-4A8A-BAFE-690635237E0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Luftpistole</vt:lpstr>
      <vt:lpstr>Luftpistole!Druckbereich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Günter Pointner</dc:creator>
  <cp:lastModifiedBy>Elisabeth Reiser-Eckelhart</cp:lastModifiedBy>
  <cp:lastPrinted>2022-09-27T08:49:10Z</cp:lastPrinted>
  <dcterms:created xsi:type="dcterms:W3CDTF">2022-05-24T13:53:34Z</dcterms:created>
  <dcterms:modified xsi:type="dcterms:W3CDTF">2022-10-16T04:49:47Z</dcterms:modified>
</cp:coreProperties>
</file>